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7935" firstSheet="2" activeTab="5"/>
  </bookViews>
  <sheets>
    <sheet name="TUYENSINH" sheetId="1" r:id="rId1"/>
    <sheet name="CHUONGTRINH" sheetId="2" r:id="rId2"/>
    <sheet name="THIETBI" sheetId="15" r:id="rId3"/>
    <sheet name="CÔNGTHUC" sheetId="14" r:id="rId4"/>
    <sheet name="Sheet6" sheetId="17" r:id="rId5"/>
    <sheet name="BANGCHIPHI" sheetId="16" r:id="rId6"/>
    <sheet name="GIATRIDAUTU" sheetId="4" r:id="rId7"/>
    <sheet name="Sheet1" sheetId="12" r:id="rId8"/>
    <sheet name="Sheet2" sheetId="13" r:id="rId9"/>
    <sheet name="Sheet7" sheetId="18" r:id="rId10"/>
  </sheets>
  <externalReferences>
    <externalReference r:id="rId11"/>
  </externalReferences>
  <calcPr calcId="144525"/>
</workbook>
</file>

<file path=xl/calcChain.xml><?xml version="1.0" encoding="utf-8"?>
<calcChain xmlns="http://schemas.openxmlformats.org/spreadsheetml/2006/main">
  <c r="I27" i="4" l="1"/>
  <c r="I26" i="4"/>
  <c r="N33" i="4" l="1"/>
  <c r="N38" i="4" s="1"/>
  <c r="M41" i="4"/>
  <c r="O38" i="4"/>
  <c r="M33" i="4"/>
  <c r="M38" i="4" s="1"/>
  <c r="J40" i="4"/>
  <c r="H40" i="4"/>
  <c r="F40" i="4"/>
  <c r="E40" i="4"/>
  <c r="D40" i="4"/>
  <c r="C39" i="4"/>
  <c r="I39" i="4" s="1"/>
  <c r="C38" i="4"/>
  <c r="C37" i="4"/>
  <c r="C36" i="4"/>
  <c r="C35" i="4"/>
  <c r="G35" i="4" s="1"/>
  <c r="G40" i="4" s="1"/>
  <c r="C34" i="4"/>
  <c r="C33" i="4"/>
  <c r="M16" i="4"/>
  <c r="H11" i="4"/>
  <c r="J11" i="4"/>
  <c r="D11" i="4"/>
  <c r="L12" i="4" s="1"/>
  <c r="E11" i="4"/>
  <c r="L14" i="4" s="1"/>
  <c r="F11" i="4"/>
  <c r="L17" i="4" s="1"/>
  <c r="C10" i="4"/>
  <c r="I10" i="4" s="1"/>
  <c r="C9" i="4"/>
  <c r="C8" i="4"/>
  <c r="C7" i="4"/>
  <c r="L7" i="4" s="1"/>
  <c r="C6" i="4"/>
  <c r="G6" i="4" s="1"/>
  <c r="G11" i="4" s="1"/>
  <c r="C5" i="4"/>
  <c r="C4" i="4"/>
  <c r="C3" i="4" s="1"/>
  <c r="I3" i="4" s="1"/>
  <c r="C32" i="4" l="1"/>
  <c r="I32" i="4" s="1"/>
  <c r="I40" i="4" s="1"/>
  <c r="C40" i="4"/>
  <c r="C11" i="4"/>
  <c r="L6" i="4"/>
  <c r="L18" i="4"/>
  <c r="L3" i="4"/>
  <c r="I11" i="4"/>
  <c r="L10" i="4"/>
  <c r="C14" i="16"/>
  <c r="C20" i="16"/>
  <c r="G8" i="15"/>
  <c r="H8" i="15" s="1"/>
  <c r="I12" i="15"/>
  <c r="I11" i="15"/>
  <c r="I10" i="15"/>
  <c r="I5" i="15"/>
  <c r="G9" i="15"/>
  <c r="I9" i="15" s="1"/>
  <c r="L11" i="4" l="1"/>
  <c r="M12" i="4" s="1"/>
  <c r="D26" i="4" s="1"/>
  <c r="D4" i="17"/>
  <c r="C12" i="16" s="1"/>
  <c r="D3" i="17"/>
  <c r="C11" i="16" s="1"/>
  <c r="I8" i="15"/>
  <c r="D7" i="17" s="1"/>
  <c r="C15" i="16" s="1"/>
  <c r="D5" i="17"/>
  <c r="C13" i="16" s="1"/>
  <c r="D8" i="17"/>
  <c r="C16" i="16" s="1"/>
  <c r="D14" i="12" l="1"/>
  <c r="D15" i="12" s="1"/>
  <c r="M39" i="4"/>
  <c r="M40" i="4" s="1"/>
  <c r="M42" i="4" s="1"/>
  <c r="L13" i="4"/>
  <c r="M14" i="4" s="1"/>
  <c r="E26" i="4" s="1"/>
  <c r="I14" i="15"/>
  <c r="D9" i="17" s="1"/>
  <c r="C17" i="16" s="1"/>
  <c r="F33" i="15"/>
  <c r="E33" i="15"/>
  <c r="D33" i="15"/>
  <c r="C32" i="15"/>
  <c r="C31" i="15"/>
  <c r="C30" i="15"/>
  <c r="C29" i="15"/>
  <c r="C28" i="15"/>
  <c r="C27" i="15"/>
  <c r="D16" i="15"/>
  <c r="F14" i="15"/>
  <c r="E14" i="15"/>
  <c r="D14" i="15"/>
  <c r="C13" i="15"/>
  <c r="C12" i="15"/>
  <c r="C11" i="15"/>
  <c r="C10" i="15"/>
  <c r="C9" i="15"/>
  <c r="C8" i="15"/>
  <c r="C7" i="15"/>
  <c r="C26" i="15" s="1"/>
  <c r="C6" i="15"/>
  <c r="C25" i="15" s="1"/>
  <c r="G34" i="14"/>
  <c r="D34" i="14"/>
  <c r="C34" i="14"/>
  <c r="D25" i="14"/>
  <c r="C25" i="14"/>
  <c r="G23" i="14"/>
  <c r="G19" i="14"/>
  <c r="E16" i="14"/>
  <c r="C16" i="14"/>
  <c r="B16" i="14"/>
  <c r="H6" i="14"/>
  <c r="B6" i="14"/>
  <c r="N39" i="4" l="1"/>
  <c r="N40" i="4" s="1"/>
  <c r="N42" i="4" s="1"/>
  <c r="E14" i="12"/>
  <c r="E15" i="12" s="1"/>
  <c r="D16" i="14"/>
  <c r="L16" i="4"/>
  <c r="M17" i="4" s="1"/>
  <c r="F26" i="4" s="1"/>
  <c r="D2" i="17"/>
  <c r="C10" i="16" s="1"/>
  <c r="D1" i="17"/>
  <c r="C9" i="16" s="1"/>
  <c r="D12" i="17"/>
  <c r="C19" i="16" s="1"/>
  <c r="D10" i="17"/>
  <c r="C18" i="16" s="1"/>
  <c r="C5" i="15"/>
  <c r="C24" i="15" s="1"/>
  <c r="C33" i="15"/>
  <c r="C14" i="15"/>
  <c r="D17" i="15"/>
  <c r="D18" i="15" s="1"/>
  <c r="G24" i="14"/>
  <c r="G25" i="14" s="1"/>
  <c r="G20" i="14"/>
  <c r="G21" i="14" s="1"/>
  <c r="O39" i="4" l="1"/>
  <c r="O40" i="4" s="1"/>
  <c r="O42" i="4" s="1"/>
  <c r="F14" i="12"/>
  <c r="F15" i="12" s="1"/>
  <c r="D14" i="17"/>
  <c r="D17" i="17" s="1"/>
  <c r="D19" i="17" s="1"/>
  <c r="H12" i="12"/>
  <c r="I12" i="12" s="1"/>
  <c r="H11" i="12"/>
  <c r="H10" i="12"/>
  <c r="H9" i="12"/>
  <c r="G9" i="12" s="1"/>
  <c r="I6" i="12"/>
  <c r="G6" i="12"/>
  <c r="E28" i="13"/>
  <c r="D28" i="13"/>
  <c r="C28" i="13"/>
  <c r="F27" i="13"/>
  <c r="F26" i="13"/>
  <c r="F25" i="13"/>
  <c r="F24" i="13"/>
  <c r="F23" i="13"/>
  <c r="F22" i="13"/>
  <c r="F21" i="13"/>
  <c r="F28" i="13" s="1"/>
  <c r="F15" i="13"/>
  <c r="E15" i="13"/>
  <c r="D15" i="13"/>
  <c r="C14" i="13"/>
  <c r="C13" i="13"/>
  <c r="C12" i="13"/>
  <c r="C11" i="13"/>
  <c r="C10" i="13"/>
  <c r="C9" i="13"/>
  <c r="C8" i="13"/>
  <c r="C7" i="13"/>
  <c r="C6" i="13" s="1"/>
  <c r="C15" i="13" s="1"/>
  <c r="F25" i="12"/>
  <c r="F27" i="12"/>
  <c r="F26" i="12"/>
  <c r="F28" i="12"/>
  <c r="F29" i="12"/>
  <c r="F23" i="12"/>
  <c r="E30" i="12"/>
  <c r="C30" i="12"/>
  <c r="D30" i="12"/>
  <c r="C13" i="12"/>
  <c r="G13" i="12" s="1"/>
  <c r="I13" i="12" s="1"/>
  <c r="C12" i="12"/>
  <c r="C11" i="12"/>
  <c r="C10" i="12"/>
  <c r="C9" i="12"/>
  <c r="C8" i="12"/>
  <c r="C7" i="12"/>
  <c r="C6" i="12" s="1"/>
  <c r="J27" i="4"/>
  <c r="D27" i="4"/>
  <c r="E27" i="4"/>
  <c r="F27" i="4"/>
  <c r="C26" i="4"/>
  <c r="H27" i="4"/>
  <c r="C24" i="4"/>
  <c r="C7" i="16" s="1"/>
  <c r="C25" i="4"/>
  <c r="C8" i="16" s="1"/>
  <c r="C22" i="4"/>
  <c r="C5" i="16" s="1"/>
  <c r="C23" i="4"/>
  <c r="C6" i="16" s="1"/>
  <c r="C21" i="4"/>
  <c r="C4" i="16" s="1"/>
  <c r="C20" i="4"/>
  <c r="C19" i="4"/>
  <c r="C14" i="12" l="1"/>
  <c r="G14" i="12" s="1"/>
  <c r="I14" i="12" s="1"/>
  <c r="G10" i="12"/>
  <c r="I10" i="12" s="1"/>
  <c r="H15" i="12"/>
  <c r="I9" i="12"/>
  <c r="G21" i="4"/>
  <c r="G27" i="4" s="1"/>
  <c r="I11" i="12"/>
  <c r="I25" i="4"/>
  <c r="C18" i="4"/>
  <c r="C27" i="4" s="1"/>
  <c r="F24" i="12"/>
  <c r="F30" i="12" s="1"/>
  <c r="C15" i="12"/>
  <c r="G15" i="12" l="1"/>
  <c r="I15" i="12"/>
  <c r="I18" i="4"/>
  <c r="C3" i="16"/>
  <c r="C21" i="16" s="1"/>
  <c r="E29" i="2"/>
  <c r="E28" i="2"/>
  <c r="E27" i="2"/>
  <c r="E25" i="2"/>
  <c r="E24" i="2"/>
  <c r="E23" i="2"/>
  <c r="E8" i="2"/>
  <c r="E9" i="2"/>
  <c r="E7" i="2"/>
  <c r="E4" i="2"/>
  <c r="E5" i="2"/>
  <c r="E3" i="2"/>
  <c r="E14" i="2" l="1"/>
  <c r="D16" i="2" s="1"/>
  <c r="D18" i="2" s="1"/>
  <c r="E34" i="2"/>
  <c r="D36" i="2" s="1"/>
  <c r="D38" i="2" s="1"/>
  <c r="F25" i="1"/>
  <c r="E25" i="1"/>
  <c r="E24" i="1"/>
  <c r="F24" i="1" s="1"/>
  <c r="E22" i="1"/>
  <c r="F22" i="1" s="1"/>
  <c r="E21" i="1"/>
  <c r="F21" i="1" s="1"/>
  <c r="E19" i="1"/>
  <c r="E18" i="1"/>
  <c r="I18" i="1" s="1"/>
  <c r="E14" i="1"/>
  <c r="E13" i="1"/>
  <c r="F13" i="1" s="1"/>
  <c r="E10" i="1"/>
  <c r="F10" i="1" s="1"/>
  <c r="E9" i="1"/>
  <c r="F9" i="1" s="1"/>
  <c r="E5" i="1"/>
  <c r="E3" i="1"/>
  <c r="F3" i="1" s="1"/>
  <c r="E2" i="1"/>
  <c r="F2" i="1" s="1"/>
  <c r="I22" i="1"/>
  <c r="I5" i="1"/>
  <c r="H25" i="1"/>
  <c r="I25" i="1" s="1"/>
  <c r="H22" i="1"/>
  <c r="H19" i="1"/>
  <c r="I19" i="1" s="1"/>
  <c r="H14" i="1"/>
  <c r="I14" i="1" s="1"/>
  <c r="H10" i="1"/>
  <c r="I10" i="1" s="1"/>
  <c r="H5" i="1"/>
  <c r="H3" i="1"/>
  <c r="I3" i="1" s="1"/>
  <c r="H24" i="1"/>
  <c r="H21" i="1"/>
  <c r="I21" i="1" s="1"/>
  <c r="H18" i="1"/>
  <c r="H13" i="1"/>
  <c r="I13" i="1" s="1"/>
  <c r="J13" i="1" s="1"/>
  <c r="H9" i="1"/>
  <c r="H2" i="1"/>
  <c r="D26" i="1"/>
  <c r="I9" i="1" l="1"/>
  <c r="J9" i="1" s="1"/>
  <c r="I24" i="1"/>
  <c r="J24" i="1" s="1"/>
  <c r="J22" i="1"/>
  <c r="J3" i="1"/>
  <c r="J10" i="1"/>
  <c r="J25" i="1"/>
  <c r="I2" i="1"/>
  <c r="I26" i="1" s="1"/>
  <c r="F19" i="1"/>
  <c r="J19" i="1" s="1"/>
  <c r="F18" i="1"/>
  <c r="F5" i="1"/>
  <c r="J5" i="1" s="1"/>
  <c r="F14" i="1"/>
  <c r="J14" i="1" s="1"/>
  <c r="J21" i="1"/>
  <c r="J18" i="1"/>
  <c r="H26" i="1"/>
  <c r="F26" i="1"/>
  <c r="E26" i="1"/>
  <c r="J2" i="1" l="1"/>
  <c r="J26" i="1"/>
</calcChain>
</file>

<file path=xl/sharedStrings.xml><?xml version="1.0" encoding="utf-8"?>
<sst xmlns="http://schemas.openxmlformats.org/spreadsheetml/2006/main" count="399" uniqueCount="199">
  <si>
    <t>Ô tô</t>
  </si>
  <si>
    <t>CK chế tạo</t>
  </si>
  <si>
    <t>Điện CN</t>
  </si>
  <si>
    <t>Cơ điện tử</t>
  </si>
  <si>
    <t>CN KT Cơ khí</t>
  </si>
  <si>
    <t>CNKTĐDT</t>
  </si>
  <si>
    <t>QTMMT</t>
  </si>
  <si>
    <t>STT</t>
  </si>
  <si>
    <t>Đơn giá/giờ</t>
  </si>
  <si>
    <t>Thành tiền</t>
  </si>
  <si>
    <t>I</t>
  </si>
  <si>
    <t>Xây dựng chương trình khung</t>
  </si>
  <si>
    <t>Biên soạn</t>
  </si>
  <si>
    <t>Sửa chữa và biên tập</t>
  </si>
  <si>
    <t>Đọc phản biện và nhận xét</t>
  </si>
  <si>
    <t>II</t>
  </si>
  <si>
    <t>Xây dựng chương trình môn học</t>
  </si>
  <si>
    <t>100 trang</t>
  </si>
  <si>
    <t>TỔNG CỘNG</t>
  </si>
  <si>
    <t>Biên soạn giáo trình</t>
  </si>
  <si>
    <t>III</t>
  </si>
  <si>
    <t>NỘI DUNG THỰC HIỆN</t>
  </si>
  <si>
    <t>Số giờ thực hiện</t>
  </si>
  <si>
    <t>Trung cấp</t>
  </si>
  <si>
    <t>TT</t>
  </si>
  <si>
    <t>NGHỀ</t>
  </si>
  <si>
    <t>Năm 2018</t>
  </si>
  <si>
    <t>Năm 2019</t>
  </si>
  <si>
    <t>Năm 2020</t>
  </si>
  <si>
    <t>Đầu tư hoạt động quản lý</t>
  </si>
  <si>
    <t>Xây dựng hệ thống đảm bảo chất lượng</t>
  </si>
  <si>
    <t>CỘNG</t>
  </si>
  <si>
    <t>Nâng cấp phần mềm quản lý đào tạo và phần mềm hành chính điện tử</t>
  </si>
  <si>
    <t>1.1</t>
  </si>
  <si>
    <t>1.2</t>
  </si>
  <si>
    <t>Đầu tư thiết bị dạy học</t>
  </si>
  <si>
    <t xml:space="preserve">Phát triển, xây dựng chương trình đào tạo </t>
  </si>
  <si>
    <t>Đào tạo, bồi dưỡng đội ngũ nhà giáo, cán bộ quản lý</t>
  </si>
  <si>
    <t>Đầu tư cơ sở vật chất</t>
  </si>
  <si>
    <t>Cải tạo, nâng cấp hệ thống thông tin</t>
  </si>
  <si>
    <t>ĐVT: ngàn đồng</t>
  </si>
  <si>
    <t>TÊN NGHỀ ĐẦU TƯ</t>
  </si>
  <si>
    <t>Công nghệ Ô tô</t>
  </si>
  <si>
    <t>Cơ khí chế tạo</t>
  </si>
  <si>
    <t>Điện công nghiệp</t>
  </si>
  <si>
    <t>=0,09-((0,09-0,08)*(18262722421-10000000000)/15000000000)</t>
  </si>
  <si>
    <t>Nb</t>
  </si>
  <si>
    <t>Công thức:</t>
  </si>
  <si>
    <t>Na</t>
  </si>
  <si>
    <t>Nt = Nb - [(Nb-Na)/(Ga-Gb)] x (Gt-Gb)</t>
  </si>
  <si>
    <t>Ga</t>
  </si>
  <si>
    <t>Gb</t>
  </si>
  <si>
    <t>Nt=</t>
  </si>
  <si>
    <t>Nb-(Nb-Na)/(Ga-Gb)*(Gt-Gb)</t>
  </si>
  <si>
    <t>Gt</t>
  </si>
  <si>
    <t>G: Quy mô giá trị</t>
  </si>
  <si>
    <t>Nt</t>
  </si>
  <si>
    <t>N: Định mức tư vấn</t>
  </si>
  <si>
    <t>a: Cận trên</t>
  </si>
  <si>
    <t>b: cận dưới</t>
  </si>
  <si>
    <t>Chi phí lập hồ sơ mời thầu và chi phí  lựa chọn nhà thầu</t>
  </si>
  <si>
    <t>QLDA</t>
  </si>
  <si>
    <t>Lập DA báo cáo khả  thi</t>
  </si>
  <si>
    <t>Chi phí thẩm định giá</t>
  </si>
  <si>
    <t>Thiết bị</t>
  </si>
  <si>
    <t>Xây dựng</t>
  </si>
  <si>
    <t>Giám sát XD</t>
  </si>
  <si>
    <t>Giám sát TB</t>
  </si>
  <si>
    <t>Chi phí thẩm tra thiết kế dự toán</t>
  </si>
  <si>
    <t>Chi phí thẩm định dự án</t>
  </si>
  <si>
    <t>Chi phí quản lý DA</t>
  </si>
  <si>
    <t>(Trừ thuế 10% Tbi+XLắp)</t>
  </si>
  <si>
    <t>Chi phí lập DA báo cáo khả thi</t>
  </si>
  <si>
    <t>=(I+II+III)*Hệ số nội suy</t>
  </si>
  <si>
    <t>Chỉ tính thẩm định trên thiết bị</t>
  </si>
  <si>
    <t>Chi phí lập hồ sơ mời thầu và chi phí  lựa chọn nhà thầu TB</t>
  </si>
  <si>
    <t>Chi phí lập hồ sơ mời thầu và chi phí  lựa chọn nhà thầu XD</t>
  </si>
  <si>
    <t>Chi phí phê duyệt, thẩm định kết quả lựa chọn nhà thầu</t>
  </si>
  <si>
    <t>Chỉ tính trên phần XD</t>
  </si>
  <si>
    <t>Chi phí thẩm tra quyết toán</t>
  </si>
  <si>
    <t>Tổng mức đầu tư*HS nội suy</t>
  </si>
  <si>
    <t>Chi phí dự phòng</t>
  </si>
  <si>
    <t>Dự phòng cho yếu tố phát sinh khối lượng (10%)</t>
  </si>
  <si>
    <t>(I+II+III+IV)*10%</t>
  </si>
  <si>
    <t>Dự phòng cho yếu tố trượt giá</t>
  </si>
  <si>
    <t>(I+II+III+IV)*5%</t>
  </si>
  <si>
    <t>Tài trợ</t>
  </si>
  <si>
    <t>ND 63 hoặc Luật đấu thâu</t>
  </si>
  <si>
    <t>TT 75 btc hoac TT 176 BTC</t>
  </si>
  <si>
    <t>TT 09 BTC</t>
  </si>
  <si>
    <t>btc hoac TT 176 BTC</t>
  </si>
  <si>
    <t>TT 06/2016/TT-BXD</t>
  </si>
  <si>
    <t>Giá trị trước thuế</t>
  </si>
  <si>
    <t>Chi phí giám sát  lắp đặt thiết bị</t>
  </si>
  <si>
    <t>Chi phí thẩm tra dự toán xây dựng</t>
  </si>
  <si>
    <t>Chi phí thẩm tra dự toán XD, dưới 10 tỷ (0,250)</t>
  </si>
  <si>
    <t>TT 209/TT- btc năm 2016 hoac TT 176 BTC</t>
  </si>
  <si>
    <t>Chi phí kiểm toán</t>
  </si>
  <si>
    <t>Chi phí khác</t>
  </si>
  <si>
    <t>NỘI DUNG ĐẦU TƯ</t>
  </si>
  <si>
    <t>Tổng chi phí</t>
  </si>
  <si>
    <t>Mua sắm trực tiếp</t>
  </si>
  <si>
    <t>(1)</t>
  </si>
  <si>
    <t>(2)</t>
  </si>
  <si>
    <t>(3)</t>
  </si>
  <si>
    <t>(6)</t>
  </si>
  <si>
    <t>A</t>
  </si>
  <si>
    <t>B</t>
  </si>
  <si>
    <t>(5)</t>
  </si>
  <si>
    <t>(7)=(5)+(6)</t>
  </si>
  <si>
    <t xml:space="preserve">CỘNG </t>
  </si>
  <si>
    <t>Cơ khí</t>
  </si>
  <si>
    <t>Giá trị đầu tư</t>
  </si>
  <si>
    <t>Nguồn vốn</t>
  </si>
  <si>
    <t>Chương trình mục tiêu</t>
  </si>
  <si>
    <t>Thành phố</t>
  </si>
  <si>
    <t>Thu sự nghiệp</t>
  </si>
  <si>
    <t>Đầu tư hoạt động quản lý (1.1)+(1.2)</t>
  </si>
  <si>
    <t>TỔNG GIÁ TRỊ DA</t>
  </si>
  <si>
    <t>Chi phí DA (7 chi phí)</t>
  </si>
  <si>
    <t xml:space="preserve">Mục 2 Đầu tư thiết bị dạy học năm 2019 </t>
  </si>
  <si>
    <t>Các khoa còn lại</t>
  </si>
  <si>
    <t>Tổng năm 2019</t>
  </si>
  <si>
    <t>TỔNG KINH PHÍ - PHÂN KỲ DỰ ÁN MỤC TIÊU (CŨ)</t>
  </si>
  <si>
    <t>TỔNG KINH PHÍ - PHÂN KỲ DỰ ÁN (MỚI LẬP)</t>
  </si>
  <si>
    <t>TỔNG DA</t>
  </si>
  <si>
    <t>(4)</t>
  </si>
  <si>
    <t>Chi phí quản lý dự án và các chi phí khác (*)</t>
  </si>
  <si>
    <t>TỔNG GIÁ TRỊ DỰ ÁN</t>
  </si>
  <si>
    <r>
      <t xml:space="preserve">                     ĐVT: </t>
    </r>
    <r>
      <rPr>
        <i/>
        <sz val="13"/>
        <color theme="1"/>
        <rFont val="Times New Roman"/>
        <family val="1"/>
      </rPr>
      <t>ngàn đồng</t>
    </r>
  </si>
  <si>
    <t>Công nghệ Kỹ thuật Cơ khí</t>
  </si>
  <si>
    <t>Công nghệ Kỹ thuật Điện-Điện tử</t>
  </si>
  <si>
    <t xml:space="preserve">Quản trị mạng máy tính </t>
  </si>
  <si>
    <t>(1)=(2)+(3)+(4)</t>
  </si>
  <si>
    <t>Hình thức đầu tư</t>
  </si>
  <si>
    <t>Tổng kinh phí</t>
  </si>
  <si>
    <t xml:space="preserve">Đầu tư hoạt động quản lý </t>
  </si>
  <si>
    <t xml:space="preserve">Chi phí quản lý dự án và các chi phí khác </t>
  </si>
  <si>
    <t>TRƯỚC THUẾ</t>
  </si>
  <si>
    <t>SAU THUẾ</t>
  </si>
  <si>
    <t>TRỪ TÀI TRỢ</t>
  </si>
  <si>
    <t>Hạng mục chi phí</t>
  </si>
  <si>
    <t>Kinh phí đầu tư cho hoạt động quản lý</t>
  </si>
  <si>
    <t>Kinh phí mua sắm thiết bị đào tạo</t>
  </si>
  <si>
    <t>Kinh phí cải tạo, sửa chữa một số hạng mục công trình nhà xưởng thực hành</t>
  </si>
  <si>
    <t>Kinh phí xây dựng chương trình, giáo trình</t>
  </si>
  <si>
    <t>Kinh phí đào tạo, bồi dưỡng nhà giáo và cán bộ quản lý</t>
  </si>
  <si>
    <t>Kinh phí cải tạo, nâng cấp hệ thống thông tin</t>
  </si>
  <si>
    <t>Chi phí giám sát lắp đặt thiết bị</t>
  </si>
  <si>
    <t>Chi phí dự phòng do phát sinh khối lượng (10%)</t>
  </si>
  <si>
    <t>Chi phí dự phòng do yếu tố trượt giá (5%)</t>
  </si>
  <si>
    <t xml:space="preserve">Tổng cộng </t>
  </si>
  <si>
    <t>NỘI DUNG</t>
  </si>
  <si>
    <t>Ký hiệu</t>
  </si>
  <si>
    <t>Cách tính</t>
  </si>
  <si>
    <t>Thuế VAT</t>
  </si>
  <si>
    <t>Thành tiền sau thuế</t>
  </si>
  <si>
    <t>CHI PHÍ THIẾT BỊ</t>
  </si>
  <si>
    <t>Gtb</t>
  </si>
  <si>
    <t>CHI PHÍ QUẢN LÝ DỰ ÁN</t>
  </si>
  <si>
    <t>Gql</t>
  </si>
  <si>
    <t>Gtb x 1,838%</t>
  </si>
  <si>
    <t>CHI PHÍ TƯ VẤN</t>
  </si>
  <si>
    <t>Gtv</t>
  </si>
  <si>
    <t>Chi phí lập báo cáo nghiên cứu khả thi</t>
  </si>
  <si>
    <t>Gtb x 0,446%</t>
  </si>
  <si>
    <t>Chi phí thẩm tra báo cáo nghiên cứu khả thi</t>
  </si>
  <si>
    <t>Gtb x 0,079%</t>
  </si>
  <si>
    <t>Chi phí thẩm định giá thiết bị</t>
  </si>
  <si>
    <t>Gtb x 0,2%</t>
  </si>
  <si>
    <t>Chi phí lập hồ sơ mời thầu, đánh giá hồ sơ dự thầu mua sắm vậy tư thiết bị</t>
  </si>
  <si>
    <t>Gtb x 0,106%</t>
  </si>
  <si>
    <t xml:space="preserve">Chi phí thẩm định kết quả lựa chọn nhà thầu cung cấp thiết bị </t>
  </si>
  <si>
    <t>Gtb x 0,05%</t>
  </si>
  <si>
    <t>Gtb x 0,335%</t>
  </si>
  <si>
    <t>IV</t>
  </si>
  <si>
    <t>CHI PHÍ KHÁC</t>
  </si>
  <si>
    <t>Gk</t>
  </si>
  <si>
    <t>Chi phí thẩm tra quyết toán vốn</t>
  </si>
  <si>
    <t>[(Gtb + Gql + Gtv) x 0,348%]x70%</t>
  </si>
  <si>
    <t>Chi phí Kiểm toán</t>
  </si>
  <si>
    <t>[(Gtb + Gql + Gtv) x 0,53%]x70%</t>
  </si>
  <si>
    <t>(Gtb + Gql + Gtv) x 0,011%</t>
  </si>
  <si>
    <t>V</t>
  </si>
  <si>
    <t>CHI PHÍ DỰ PHÒNG</t>
  </si>
  <si>
    <t> Gdp</t>
  </si>
  <si>
    <t>Gdp=Gdp1+Gdp2 </t>
  </si>
  <si>
    <t>Chi phí dự phòng do khối lượng công việc phát sinh</t>
  </si>
  <si>
    <t>Gdp1</t>
  </si>
  <si>
    <t>Chi phí dự phòng do trượt giá</t>
  </si>
  <si>
    <t> Gdp2</t>
  </si>
  <si>
    <t>(Gtb + Gql + Gtv + Gk) x 5%</t>
  </si>
  <si>
    <t>VI</t>
  </si>
  <si>
    <t xml:space="preserve">TỔNG KHÁI TOÁN </t>
  </si>
  <si>
    <t>VII</t>
  </si>
  <si>
    <t>TỔNG KHÁI TOÁN (làm tròn)</t>
  </si>
  <si>
    <t xml:space="preserve">Giá trị </t>
  </si>
  <si>
    <r>
      <t xml:space="preserve">ĐVT: </t>
    </r>
    <r>
      <rPr>
        <i/>
        <sz val="14"/>
        <color theme="1"/>
        <rFont val="Times New Roman"/>
        <family val="1"/>
      </rPr>
      <t>ngàn đồng</t>
    </r>
  </si>
  <si>
    <t>Giá trị trang bị (trừ tài trợ)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</si>
</sst>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#,##0.0000000"/>
    <numFmt numFmtId="166" formatCode="_(* #,##0.0000_);_(* \(#,##0.0000\);_(* &quot;-&quot;??_);_(@_)"/>
    <numFmt numFmtId="167" formatCode="0.00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13"/>
      <color rgb="FF000000"/>
      <name val="Times New Roman"/>
      <family val="1"/>
    </font>
    <font>
      <b/>
      <i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i/>
      <sz val="14"/>
      <color rgb="FF000000"/>
      <name val="Times New Roman"/>
      <family val="1"/>
    </font>
    <font>
      <b/>
      <sz val="22"/>
      <color theme="1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</cellStyleXfs>
  <cellXfs count="268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0" fillId="0" borderId="0" xfId="0" applyNumberFormat="1"/>
    <xf numFmtId="3" fontId="3" fillId="0" borderId="1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164" fontId="0" fillId="0" borderId="0" xfId="1" applyNumberFormat="1" applyFont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12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0" fillId="0" borderId="13" xfId="0" applyBorder="1"/>
    <xf numFmtId="3" fontId="6" fillId="0" borderId="1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8" fillId="0" borderId="0" xfId="0" applyFont="1"/>
    <xf numFmtId="0" fontId="11" fillId="0" borderId="1" xfId="0" applyFont="1" applyBorder="1" applyAlignment="1">
      <alignment horizontal="center" vertical="center"/>
    </xf>
    <xf numFmtId="0" fontId="8" fillId="0" borderId="1" xfId="0" applyFont="1" applyBorder="1"/>
    <xf numFmtId="0" fontId="0" fillId="0" borderId="1" xfId="0" applyBorder="1"/>
    <xf numFmtId="0" fontId="10" fillId="0" borderId="0" xfId="0" applyFont="1"/>
    <xf numFmtId="3" fontId="6" fillId="0" borderId="1" xfId="0" applyNumberFormat="1" applyFont="1" applyBorder="1" applyAlignment="1">
      <alignment vertical="center" wrapText="1"/>
    </xf>
    <xf numFmtId="165" fontId="15" fillId="0" borderId="0" xfId="0" quotePrefix="1" applyNumberFormat="1" applyFont="1"/>
    <xf numFmtId="3" fontId="0" fillId="0" borderId="0" xfId="0" applyNumberFormat="1"/>
    <xf numFmtId="0" fontId="16" fillId="2" borderId="10" xfId="0" applyFont="1" applyFill="1" applyBorder="1"/>
    <xf numFmtId="0" fontId="0" fillId="4" borderId="0" xfId="0" applyFill="1"/>
    <xf numFmtId="0" fontId="17" fillId="0" borderId="0" xfId="0" applyFont="1"/>
    <xf numFmtId="166" fontId="17" fillId="0" borderId="0" xfId="1" applyNumberFormat="1" applyFont="1"/>
    <xf numFmtId="0" fontId="17" fillId="4" borderId="0" xfId="0" applyFont="1" applyFill="1"/>
    <xf numFmtId="3" fontId="0" fillId="2" borderId="0" xfId="0" applyNumberFormat="1" applyFill="1"/>
    <xf numFmtId="0" fontId="11" fillId="0" borderId="1" xfId="0" applyFont="1" applyFill="1" applyBorder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3" fillId="0" borderId="1" xfId="0" applyFont="1" applyFill="1" applyBorder="1"/>
    <xf numFmtId="164" fontId="3" fillId="0" borderId="1" xfId="0" quotePrefix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3" fontId="3" fillId="0" borderId="1" xfId="0" applyNumberFormat="1" applyFont="1" applyBorder="1"/>
    <xf numFmtId="0" fontId="3" fillId="0" borderId="1" xfId="0" applyFont="1" applyBorder="1"/>
    <xf numFmtId="164" fontId="3" fillId="0" borderId="1" xfId="0" applyNumberFormat="1" applyFont="1" applyBorder="1"/>
    <xf numFmtId="164" fontId="4" fillId="0" borderId="1" xfId="0" applyNumberFormat="1" applyFont="1" applyBorder="1"/>
    <xf numFmtId="0" fontId="4" fillId="0" borderId="1" xfId="0" applyFont="1" applyFill="1" applyBorder="1"/>
    <xf numFmtId="0" fontId="4" fillId="0" borderId="1" xfId="0" applyFont="1" applyBorder="1"/>
    <xf numFmtId="0" fontId="3" fillId="0" borderId="1" xfId="0" quotePrefix="1" applyFont="1" applyBorder="1"/>
    <xf numFmtId="164" fontId="8" fillId="0" borderId="0" xfId="1" applyNumberFormat="1" applyFont="1"/>
    <xf numFmtId="164" fontId="6" fillId="0" borderId="1" xfId="1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/>
    </xf>
    <xf numFmtId="164" fontId="11" fillId="0" borderId="1" xfId="0" applyNumberFormat="1" applyFont="1" applyBorder="1" applyAlignment="1">
      <alignment horizontal="center"/>
    </xf>
    <xf numFmtId="0" fontId="3" fillId="0" borderId="0" xfId="0" applyFont="1"/>
    <xf numFmtId="9" fontId="3" fillId="0" borderId="0" xfId="0" applyNumberFormat="1" applyFont="1"/>
    <xf numFmtId="0" fontId="4" fillId="0" borderId="0" xfId="0" applyFont="1"/>
    <xf numFmtId="164" fontId="11" fillId="0" borderId="1" xfId="0" applyNumberFormat="1" applyFont="1" applyBorder="1"/>
    <xf numFmtId="0" fontId="17" fillId="2" borderId="0" xfId="0" applyFont="1" applyFill="1"/>
    <xf numFmtId="0" fontId="8" fillId="2" borderId="1" xfId="0" applyFont="1" applyFill="1" applyBorder="1"/>
    <xf numFmtId="167" fontId="0" fillId="0" borderId="0" xfId="0" applyNumberFormat="1"/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0" fillId="0" borderId="1" xfId="0" quotePrefix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 wrapText="1"/>
    </xf>
    <xf numFmtId="164" fontId="8" fillId="0" borderId="1" xfId="1" applyNumberFormat="1" applyFont="1" applyBorder="1"/>
    <xf numFmtId="164" fontId="11" fillId="0" borderId="1" xfId="1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4" fillId="5" borderId="1" xfId="0" applyFont="1" applyFill="1" applyBorder="1" applyAlignment="1">
      <alignment vertical="center" wrapText="1"/>
    </xf>
    <xf numFmtId="0" fontId="24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right" vertical="center" wrapText="1"/>
    </xf>
    <xf numFmtId="0" fontId="23" fillId="5" borderId="1" xfId="0" applyFont="1" applyFill="1" applyBorder="1" applyAlignment="1">
      <alignment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right" vertical="center" wrapText="1"/>
    </xf>
    <xf numFmtId="0" fontId="21" fillId="5" borderId="1" xfId="0" applyFont="1" applyFill="1" applyBorder="1" applyAlignment="1">
      <alignment vertical="center" wrapText="1"/>
    </xf>
    <xf numFmtId="164" fontId="25" fillId="5" borderId="1" xfId="0" applyNumberFormat="1" applyFont="1" applyFill="1" applyBorder="1" applyAlignment="1">
      <alignment horizontal="right" vertical="center" wrapText="1"/>
    </xf>
    <xf numFmtId="0" fontId="7" fillId="0" borderId="10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justify" vertical="center" wrapText="1"/>
    </xf>
    <xf numFmtId="164" fontId="25" fillId="0" borderId="1" xfId="0" applyNumberFormat="1" applyFont="1" applyBorder="1" applyAlignment="1">
      <alignment horizontal="justify" vertical="center" wrapText="1"/>
    </xf>
    <xf numFmtId="0" fontId="25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vertical="center" wrapText="1"/>
    </xf>
    <xf numFmtId="0" fontId="27" fillId="0" borderId="0" xfId="0" applyFont="1"/>
    <xf numFmtId="164" fontId="7" fillId="0" borderId="1" xfId="0" applyNumberFormat="1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164" fontId="27" fillId="0" borderId="0" xfId="0" applyNumberFormat="1" applyFont="1"/>
    <xf numFmtId="164" fontId="7" fillId="0" borderId="1" xfId="0" applyNumberFormat="1" applyFont="1" applyBorder="1" applyAlignment="1">
      <alignment vertical="center" wrapText="1"/>
    </xf>
    <xf numFmtId="164" fontId="8" fillId="0" borderId="1" xfId="0" applyNumberFormat="1" applyFont="1" applyBorder="1"/>
    <xf numFmtId="3" fontId="8" fillId="0" borderId="0" xfId="0" applyNumberFormat="1" applyFont="1"/>
    <xf numFmtId="164" fontId="11" fillId="0" borderId="1" xfId="1" applyNumberFormat="1" applyFont="1" applyBorder="1"/>
    <xf numFmtId="164" fontId="28" fillId="0" borderId="1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24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0" fontId="28" fillId="0" borderId="1" xfId="0" applyFont="1" applyBorder="1" applyAlignment="1">
      <alignment horizontal="justify" vertical="center" wrapText="1"/>
    </xf>
    <xf numFmtId="0" fontId="26" fillId="0" borderId="0" xfId="0" applyFont="1" applyAlignment="1">
      <alignment wrapText="1"/>
    </xf>
    <xf numFmtId="164" fontId="28" fillId="0" borderId="1" xfId="0" applyNumberFormat="1" applyFont="1" applyBorder="1" applyAlignment="1">
      <alignment horizontal="justify" vertical="center" wrapText="1"/>
    </xf>
    <xf numFmtId="0" fontId="28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164" fontId="30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/>
    <xf numFmtId="164" fontId="30" fillId="0" borderId="2" xfId="1" applyNumberFormat="1" applyFont="1" applyBorder="1" applyAlignment="1">
      <alignment horizontal="center" vertical="center"/>
    </xf>
    <xf numFmtId="0" fontId="26" fillId="0" borderId="1" xfId="0" applyFont="1" applyBorder="1"/>
    <xf numFmtId="164" fontId="26" fillId="0" borderId="1" xfId="0" applyNumberFormat="1" applyFont="1" applyBorder="1"/>
    <xf numFmtId="164" fontId="26" fillId="0" borderId="1" xfId="1" applyNumberFormat="1" applyFont="1" applyBorder="1"/>
    <xf numFmtId="0" fontId="26" fillId="0" borderId="1" xfId="0" applyFont="1" applyBorder="1" applyAlignment="1">
      <alignment wrapText="1"/>
    </xf>
    <xf numFmtId="0" fontId="30" fillId="0" borderId="0" xfId="0" applyFont="1"/>
    <xf numFmtId="164" fontId="6" fillId="0" borderId="1" xfId="0" applyNumberFormat="1" applyFont="1" applyBorder="1" applyAlignment="1">
      <alignment vertical="center" wrapText="1"/>
    </xf>
    <xf numFmtId="0" fontId="31" fillId="0" borderId="1" xfId="0" quotePrefix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justify" vertical="center" wrapText="1"/>
    </xf>
    <xf numFmtId="164" fontId="32" fillId="0" borderId="1" xfId="0" applyNumberFormat="1" applyFont="1" applyBorder="1" applyAlignment="1">
      <alignment horizontal="justify" vertical="center" wrapText="1"/>
    </xf>
    <xf numFmtId="164" fontId="32" fillId="0" borderId="1" xfId="1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164" fontId="32" fillId="0" borderId="1" xfId="1" applyNumberFormat="1" applyFont="1" applyBorder="1" applyAlignment="1">
      <alignment horizontal="justify" vertical="center"/>
    </xf>
    <xf numFmtId="164" fontId="16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justify" vertical="center"/>
    </xf>
    <xf numFmtId="0" fontId="33" fillId="0" borderId="1" xfId="0" applyFont="1" applyBorder="1" applyAlignment="1">
      <alignment horizontal="justify" vertical="center" wrapText="1"/>
    </xf>
    <xf numFmtId="164" fontId="1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/>
    </xf>
    <xf numFmtId="164" fontId="8" fillId="0" borderId="1" xfId="1" applyNumberFormat="1" applyFont="1" applyBorder="1" applyAlignment="1"/>
    <xf numFmtId="164" fontId="8" fillId="0" borderId="14" xfId="1" applyNumberFormat="1" applyFont="1" applyBorder="1" applyAlignment="1"/>
    <xf numFmtId="164" fontId="8" fillId="0" borderId="12" xfId="1" applyNumberFormat="1" applyFont="1" applyBorder="1" applyAlignment="1"/>
    <xf numFmtId="164" fontId="8" fillId="0" borderId="14" xfId="1" applyNumberFormat="1" applyFont="1" applyBorder="1" applyAlignment="1">
      <alignment vertical="center"/>
    </xf>
    <xf numFmtId="3" fontId="6" fillId="0" borderId="0" xfId="0" applyNumberFormat="1" applyFont="1"/>
    <xf numFmtId="164" fontId="8" fillId="0" borderId="2" xfId="1" applyNumberFormat="1" applyFont="1" applyBorder="1" applyAlignment="1"/>
    <xf numFmtId="0" fontId="21" fillId="0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 wrapText="1"/>
    </xf>
    <xf numFmtId="164" fontId="25" fillId="0" borderId="1" xfId="0" applyNumberFormat="1" applyFont="1" applyBorder="1" applyAlignment="1">
      <alignment vertical="center" wrapText="1"/>
    </xf>
    <xf numFmtId="164" fontId="24" fillId="0" borderId="1" xfId="0" applyNumberFormat="1" applyFont="1" applyBorder="1" applyAlignment="1">
      <alignment vertical="center"/>
    </xf>
    <xf numFmtId="0" fontId="24" fillId="0" borderId="1" xfId="0" applyFont="1" applyBorder="1" applyAlignment="1">
      <alignment vertical="center"/>
    </xf>
    <xf numFmtId="0" fontId="20" fillId="0" borderId="1" xfId="0" applyFont="1" applyBorder="1" applyAlignment="1">
      <alignment horizontal="justify" vertical="center" wrapText="1"/>
    </xf>
    <xf numFmtId="164" fontId="20" fillId="0" borderId="1" xfId="0" applyNumberFormat="1" applyFont="1" applyBorder="1" applyAlignment="1">
      <alignment horizontal="justify" vertical="center" wrapText="1"/>
    </xf>
    <xf numFmtId="164" fontId="20" fillId="0" borderId="1" xfId="1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justify" vertical="center" wrapText="1"/>
    </xf>
    <xf numFmtId="164" fontId="20" fillId="0" borderId="1" xfId="1" applyNumberFormat="1" applyFont="1" applyBorder="1" applyAlignment="1">
      <alignment horizontal="justify" vertical="center"/>
    </xf>
    <xf numFmtId="3" fontId="25" fillId="0" borderId="1" xfId="0" applyNumberFormat="1" applyFont="1" applyBorder="1" applyAlignment="1">
      <alignment vertical="center" wrapText="1"/>
    </xf>
    <xf numFmtId="164" fontId="34" fillId="0" borderId="1" xfId="1" applyNumberFormat="1" applyFont="1" applyBorder="1" applyAlignment="1">
      <alignment horizontal="center" vertical="center"/>
    </xf>
    <xf numFmtId="164" fontId="25" fillId="0" borderId="1" xfId="1" applyNumberFormat="1" applyFont="1" applyBorder="1" applyAlignment="1">
      <alignment horizontal="center" vertical="center"/>
    </xf>
    <xf numFmtId="164" fontId="25" fillId="0" borderId="1" xfId="1" applyNumberFormat="1" applyFont="1" applyBorder="1" applyAlignment="1">
      <alignment horizontal="right" vertical="center"/>
    </xf>
    <xf numFmtId="164" fontId="24" fillId="0" borderId="1" xfId="1" applyNumberFormat="1" applyFont="1" applyBorder="1" applyAlignment="1">
      <alignment vertical="center"/>
    </xf>
    <xf numFmtId="3" fontId="25" fillId="0" borderId="1" xfId="0" applyNumberFormat="1" applyFont="1" applyBorder="1" applyAlignment="1">
      <alignment horizontal="right" vertical="center"/>
    </xf>
    <xf numFmtId="3" fontId="25" fillId="0" borderId="1" xfId="0" applyNumberFormat="1" applyFont="1" applyBorder="1" applyAlignment="1">
      <alignment horizontal="center" vertical="center"/>
    </xf>
    <xf numFmtId="3" fontId="25" fillId="0" borderId="1" xfId="0" applyNumberFormat="1" applyFont="1" applyBorder="1" applyAlignment="1">
      <alignment vertical="center"/>
    </xf>
    <xf numFmtId="3" fontId="24" fillId="0" borderId="1" xfId="0" applyNumberFormat="1" applyFont="1" applyBorder="1" applyAlignment="1">
      <alignment vertical="center"/>
    </xf>
    <xf numFmtId="3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justify" vertical="center" wrapText="1"/>
    </xf>
    <xf numFmtId="164" fontId="35" fillId="0" borderId="1" xfId="0" applyNumberFormat="1" applyFont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164" fontId="23" fillId="0" borderId="1" xfId="0" applyNumberFormat="1" applyFont="1" applyBorder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164" fontId="28" fillId="0" borderId="0" xfId="1" applyNumberFormat="1" applyFont="1" applyBorder="1" applyAlignment="1">
      <alignment horizontal="center" vertical="center"/>
    </xf>
    <xf numFmtId="164" fontId="6" fillId="0" borderId="0" xfId="1" applyNumberFormat="1" applyFont="1" applyBorder="1" applyAlignment="1">
      <alignment horizontal="center" vertical="center"/>
    </xf>
    <xf numFmtId="3" fontId="6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horizontal="center" vertical="center" wrapText="1"/>
    </xf>
    <xf numFmtId="164" fontId="8" fillId="0" borderId="0" xfId="1" applyNumberFormat="1" applyFont="1" applyBorder="1"/>
    <xf numFmtId="164" fontId="7" fillId="0" borderId="0" xfId="0" applyNumberFormat="1" applyFont="1" applyBorder="1" applyAlignment="1">
      <alignment horizontal="center" vertical="center" wrapText="1"/>
    </xf>
    <xf numFmtId="164" fontId="11" fillId="0" borderId="0" xfId="1" applyNumberFormat="1" applyFont="1" applyBorder="1" applyAlignment="1">
      <alignment horizontal="center"/>
    </xf>
    <xf numFmtId="164" fontId="26" fillId="0" borderId="0" xfId="1" applyNumberFormat="1" applyFont="1" applyBorder="1"/>
    <xf numFmtId="164" fontId="11" fillId="0" borderId="0" xfId="0" applyNumberFormat="1" applyFont="1" applyBorder="1" applyAlignment="1">
      <alignment horizontal="center"/>
    </xf>
    <xf numFmtId="164" fontId="6" fillId="0" borderId="0" xfId="0" applyNumberFormat="1" applyFont="1" applyBorder="1" applyAlignment="1">
      <alignment horizontal="center" vertical="center"/>
    </xf>
    <xf numFmtId="164" fontId="8" fillId="0" borderId="0" xfId="1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3" fontId="21" fillId="5" borderId="1" xfId="0" applyNumberFormat="1" applyFont="1" applyFill="1" applyBorder="1" applyAlignment="1">
      <alignment horizontal="right" vertical="center" wrapText="1"/>
    </xf>
    <xf numFmtId="3" fontId="23" fillId="5" borderId="1" xfId="0" applyNumberFormat="1" applyFont="1" applyFill="1" applyBorder="1" applyAlignment="1">
      <alignment horizontal="right" vertical="center" wrapText="1"/>
    </xf>
    <xf numFmtId="3" fontId="25" fillId="5" borderId="1" xfId="0" applyNumberFormat="1" applyFont="1" applyFill="1" applyBorder="1" applyAlignment="1">
      <alignment horizontal="right" vertical="center" wrapText="1"/>
    </xf>
    <xf numFmtId="3" fontId="24" fillId="5" borderId="1" xfId="0" applyNumberFormat="1" applyFont="1" applyFill="1" applyBorder="1" applyAlignment="1">
      <alignment horizontal="right" vertical="center" wrapText="1"/>
    </xf>
    <xf numFmtId="0" fontId="24" fillId="5" borderId="1" xfId="0" applyFont="1" applyFill="1" applyBorder="1" applyAlignment="1">
      <alignment horizontal="center" vertical="center"/>
    </xf>
    <xf numFmtId="164" fontId="9" fillId="0" borderId="0" xfId="1" applyNumberFormat="1" applyFont="1" applyBorder="1" applyAlignment="1">
      <alignment vertical="center"/>
    </xf>
    <xf numFmtId="0" fontId="8" fillId="0" borderId="0" xfId="0" applyFont="1" applyAlignment="1">
      <alignment horizontal="right"/>
    </xf>
    <xf numFmtId="3" fontId="12" fillId="0" borderId="1" xfId="0" applyNumberFormat="1" applyFont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justify" vertical="center" wrapText="1"/>
    </xf>
    <xf numFmtId="164" fontId="6" fillId="0" borderId="18" xfId="1" applyNumberFormat="1" applyFont="1" applyBorder="1" applyAlignment="1">
      <alignment horizontal="center" vertical="center"/>
    </xf>
    <xf numFmtId="164" fontId="6" fillId="0" borderId="14" xfId="1" applyNumberFormat="1" applyFont="1" applyBorder="1" applyAlignment="1">
      <alignment horizontal="center" vertical="center"/>
    </xf>
    <xf numFmtId="0" fontId="0" fillId="0" borderId="14" xfId="0" applyBorder="1"/>
    <xf numFmtId="164" fontId="8" fillId="0" borderId="14" xfId="0" applyNumberFormat="1" applyFont="1" applyBorder="1"/>
    <xf numFmtId="0" fontId="8" fillId="0" borderId="14" xfId="0" applyFont="1" applyBorder="1"/>
    <xf numFmtId="164" fontId="27" fillId="0" borderId="1" xfId="0" applyNumberFormat="1" applyFont="1" applyBorder="1"/>
    <xf numFmtId="164" fontId="10" fillId="0" borderId="0" xfId="0" applyNumberFormat="1" applyFont="1"/>
    <xf numFmtId="164" fontId="8" fillId="0" borderId="1" xfId="1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164" fontId="0" fillId="0" borderId="1" xfId="0" applyNumberFormat="1" applyBorder="1"/>
    <xf numFmtId="164" fontId="0" fillId="0" borderId="1" xfId="1" applyNumberFormat="1" applyFont="1" applyBorder="1"/>
    <xf numFmtId="164" fontId="10" fillId="0" borderId="1" xfId="0" applyNumberFormat="1" applyFont="1" applyBorder="1"/>
    <xf numFmtId="0" fontId="4" fillId="0" borderId="1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164" fontId="11" fillId="0" borderId="10" xfId="1" applyNumberFormat="1" applyFont="1" applyBorder="1" applyAlignment="1">
      <alignment horizontal="center"/>
    </xf>
    <xf numFmtId="164" fontId="11" fillId="0" borderId="6" xfId="1" applyNumberFormat="1" applyFont="1" applyBorder="1" applyAlignment="1">
      <alignment horizontal="center"/>
    </xf>
    <xf numFmtId="164" fontId="11" fillId="0" borderId="2" xfId="1" applyNumberFormat="1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</cellXfs>
  <cellStyles count="7">
    <cellStyle name="Comma" xfId="1" builtinId="3"/>
    <cellStyle name="Comma 10 3" xfId="6"/>
    <cellStyle name="Comma 2 2" xfId="5"/>
    <cellStyle name="Normal" xfId="0" builtinId="0"/>
    <cellStyle name="Normal 2" xfId="2"/>
    <cellStyle name="Normal 2 2" xfId="4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ILELUUTRU\DEAN-DUAN-CHIENLUOCPHATTRIENTRUONG\DEAN-DUAN\DUAN%20DAU%20TU%20NGHE%20TRONG%20DIEM%20CHAT%20LUONG%20CAO%202018\EXCEL\CONG%20THUC%20TI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INGUGV"/>
      <sheetName val="QUIMOHS"/>
      <sheetName val="TUYENSINHTHEO NGHE"/>
      <sheetName val="CHƯƠNGTRINHGIAOTRINH"/>
      <sheetName val="DANHMUCNGHE"/>
      <sheetName val="THIETBI"/>
      <sheetName val="THIETBIDAYHOC"/>
      <sheetName val="TONGCP(2)"/>
      <sheetName val="TONGCP(CONGTHUC)"/>
      <sheetName val="PHANKY "/>
      <sheetName val="nội su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1">
          <cell r="E11">
            <v>808000000000</v>
          </cell>
        </row>
        <row r="12">
          <cell r="E12">
            <v>427681074656</v>
          </cell>
        </row>
      </sheetData>
      <sheetData sheetId="9"/>
      <sheetData sheetId="10">
        <row r="2">
          <cell r="A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4" workbookViewId="0">
      <selection activeCell="D22" sqref="D22"/>
    </sheetView>
  </sheetViews>
  <sheetFormatPr defaultRowHeight="15" x14ac:dyDescent="0.25"/>
  <sheetData>
    <row r="1" spans="1:10" x14ac:dyDescent="0.25">
      <c r="C1">
        <v>2017</v>
      </c>
      <c r="H1">
        <v>2018</v>
      </c>
      <c r="I1">
        <v>2019</v>
      </c>
      <c r="J1">
        <v>2020</v>
      </c>
    </row>
    <row r="2" spans="1:10" s="1" customFormat="1" x14ac:dyDescent="0.25">
      <c r="A2" s="1" t="s">
        <v>0</v>
      </c>
      <c r="C2" s="1">
        <v>948</v>
      </c>
      <c r="D2" s="1">
        <v>1000</v>
      </c>
      <c r="E2" s="1">
        <f>D2*10%+D2</f>
        <v>1100</v>
      </c>
      <c r="F2" s="1">
        <f>E2*10%+E2</f>
        <v>1210</v>
      </c>
      <c r="H2" s="1">
        <f>C2+D2</f>
        <v>1948</v>
      </c>
      <c r="I2" s="1">
        <f>H2+E2</f>
        <v>3048</v>
      </c>
      <c r="J2" s="1">
        <f>(I2+F2)-C2</f>
        <v>3310</v>
      </c>
    </row>
    <row r="3" spans="1:10" s="2" customFormat="1" x14ac:dyDescent="0.25">
      <c r="C3" s="2">
        <v>229</v>
      </c>
      <c r="D3" s="2">
        <v>250</v>
      </c>
      <c r="E3" s="1">
        <f>D3*10%+D3</f>
        <v>275</v>
      </c>
      <c r="F3" s="1">
        <f>E3*10%+E3</f>
        <v>302.5</v>
      </c>
      <c r="H3" s="2">
        <f>D3+C3</f>
        <v>479</v>
      </c>
      <c r="I3" s="2">
        <f>(H3+D3)-C3</f>
        <v>500</v>
      </c>
      <c r="J3" s="2">
        <f>(I3+F3)-D3</f>
        <v>552.5</v>
      </c>
    </row>
    <row r="5" spans="1:10" x14ac:dyDescent="0.25">
      <c r="A5" t="s">
        <v>1</v>
      </c>
      <c r="C5">
        <v>153</v>
      </c>
      <c r="D5">
        <v>150</v>
      </c>
      <c r="E5" s="1">
        <f>D5*10%+D5</f>
        <v>165</v>
      </c>
      <c r="F5" s="1">
        <f>E5*10%+E5</f>
        <v>181.5</v>
      </c>
      <c r="H5" s="2">
        <f>D5+C5</f>
        <v>303</v>
      </c>
      <c r="I5" s="2">
        <f>(H5+D5)-C5</f>
        <v>300</v>
      </c>
      <c r="J5" s="2">
        <f>(I5+F5)-D5</f>
        <v>331.5</v>
      </c>
    </row>
    <row r="9" spans="1:10" s="1" customFormat="1" x14ac:dyDescent="0.25">
      <c r="A9" s="1" t="s">
        <v>2</v>
      </c>
      <c r="C9" s="1">
        <v>273</v>
      </c>
      <c r="D9" s="1">
        <v>300</v>
      </c>
      <c r="E9" s="1">
        <f>D9*10%+D9</f>
        <v>330</v>
      </c>
      <c r="F9" s="1">
        <f>E9*10%+E9</f>
        <v>363</v>
      </c>
      <c r="H9" s="1">
        <f>C9+D9</f>
        <v>573</v>
      </c>
      <c r="I9" s="1">
        <f>H9+E9</f>
        <v>903</v>
      </c>
      <c r="J9" s="1">
        <f>(I9+F9)-C9</f>
        <v>993</v>
      </c>
    </row>
    <row r="10" spans="1:10" x14ac:dyDescent="0.25">
      <c r="C10">
        <v>118</v>
      </c>
      <c r="D10">
        <v>150</v>
      </c>
      <c r="E10" s="1">
        <f>D10*10%+D10</f>
        <v>165</v>
      </c>
      <c r="F10" s="1">
        <f>E10*10%+E10</f>
        <v>181.5</v>
      </c>
      <c r="H10" s="2">
        <f>D10+C10</f>
        <v>268</v>
      </c>
      <c r="I10" s="2">
        <f>(H10+D10)-C10</f>
        <v>300</v>
      </c>
      <c r="J10" s="2">
        <f>(I10+F10)-D10</f>
        <v>331.5</v>
      </c>
    </row>
    <row r="13" spans="1:10" s="1" customFormat="1" x14ac:dyDescent="0.25">
      <c r="A13" s="1" t="s">
        <v>3</v>
      </c>
      <c r="C13" s="1">
        <v>72</v>
      </c>
      <c r="D13" s="1">
        <v>100</v>
      </c>
      <c r="E13" s="1">
        <f>D13*10%+D13</f>
        <v>110</v>
      </c>
      <c r="F13" s="1">
        <f>E13*10%+E13</f>
        <v>121</v>
      </c>
      <c r="H13" s="1">
        <f>C13+D13</f>
        <v>172</v>
      </c>
      <c r="I13" s="1">
        <f>H13+E13</f>
        <v>282</v>
      </c>
      <c r="J13" s="1">
        <f>(I13+F13)-C13</f>
        <v>331</v>
      </c>
    </row>
    <row r="14" spans="1:10" x14ac:dyDescent="0.25">
      <c r="D14">
        <v>50</v>
      </c>
      <c r="E14" s="1">
        <f>D14*10%+D14</f>
        <v>55</v>
      </c>
      <c r="F14" s="1">
        <f>E14*10%+E14</f>
        <v>60.5</v>
      </c>
      <c r="H14" s="2">
        <f>D14+C14</f>
        <v>50</v>
      </c>
      <c r="I14" s="2">
        <f>(H14+D14)-C14</f>
        <v>100</v>
      </c>
      <c r="J14" s="2">
        <f>(I14+F14)-D14</f>
        <v>110.5</v>
      </c>
    </row>
    <row r="18" spans="1:10" s="1" customFormat="1" x14ac:dyDescent="0.25">
      <c r="A18" s="1" t="s">
        <v>4</v>
      </c>
      <c r="C18" s="1">
        <v>575</v>
      </c>
      <c r="D18" s="1">
        <v>600</v>
      </c>
      <c r="E18" s="1">
        <f>D18*10%+D18</f>
        <v>660</v>
      </c>
      <c r="F18" s="1">
        <f>E18*10%+E18</f>
        <v>726</v>
      </c>
      <c r="H18" s="1">
        <f>C18+D18</f>
        <v>1175</v>
      </c>
      <c r="I18" s="1">
        <f>H18+E18</f>
        <v>1835</v>
      </c>
      <c r="J18" s="1">
        <f>(I18+F18)-C18</f>
        <v>1986</v>
      </c>
    </row>
    <row r="19" spans="1:10" x14ac:dyDescent="0.25">
      <c r="C19">
        <v>103</v>
      </c>
      <c r="D19">
        <v>150</v>
      </c>
      <c r="E19" s="1">
        <f>D19*10%+D19</f>
        <v>165</v>
      </c>
      <c r="F19" s="1">
        <f>E19*10%+E19</f>
        <v>181.5</v>
      </c>
      <c r="H19" s="2">
        <f>D19+C19</f>
        <v>253</v>
      </c>
      <c r="I19" s="2">
        <f>(H19+D19)-C19</f>
        <v>300</v>
      </c>
      <c r="J19" s="2">
        <f>(I19+F19)-D19</f>
        <v>331.5</v>
      </c>
    </row>
    <row r="21" spans="1:10" s="1" customFormat="1" x14ac:dyDescent="0.25">
      <c r="A21" s="1" t="s">
        <v>5</v>
      </c>
      <c r="C21" s="1">
        <v>374</v>
      </c>
      <c r="D21" s="1">
        <v>400</v>
      </c>
      <c r="E21" s="1">
        <f>D21*10%+D21</f>
        <v>440</v>
      </c>
      <c r="F21" s="1">
        <f>E21*10%+E21</f>
        <v>484</v>
      </c>
      <c r="H21" s="1">
        <f>C21+D21</f>
        <v>774</v>
      </c>
      <c r="I21" s="1">
        <f>H21+E21</f>
        <v>1214</v>
      </c>
      <c r="J21" s="1">
        <f>(I21+F21)-C21</f>
        <v>1324</v>
      </c>
    </row>
    <row r="22" spans="1:10" x14ac:dyDescent="0.25">
      <c r="C22">
        <v>65</v>
      </c>
      <c r="D22">
        <v>100</v>
      </c>
      <c r="E22" s="1">
        <f>D22*10%+D22</f>
        <v>110</v>
      </c>
      <c r="F22" s="1">
        <f>E22*10%+E22</f>
        <v>121</v>
      </c>
      <c r="H22" s="2">
        <f>D22+C22</f>
        <v>165</v>
      </c>
      <c r="I22" s="2">
        <f>(H22+D22)-C22</f>
        <v>200</v>
      </c>
      <c r="J22" s="2">
        <f>(I22+F22)-D22</f>
        <v>221</v>
      </c>
    </row>
    <row r="24" spans="1:10" s="1" customFormat="1" x14ac:dyDescent="0.25">
      <c r="A24" s="1" t="s">
        <v>6</v>
      </c>
      <c r="C24" s="1">
        <v>82</v>
      </c>
      <c r="D24" s="1">
        <v>100</v>
      </c>
      <c r="E24" s="1">
        <f>D24*10%+D24</f>
        <v>110</v>
      </c>
      <c r="F24" s="1">
        <f>E24*10%+E24</f>
        <v>121</v>
      </c>
      <c r="H24" s="1">
        <f>C24+D24</f>
        <v>182</v>
      </c>
      <c r="I24" s="1">
        <f>H24+E24</f>
        <v>292</v>
      </c>
      <c r="J24" s="1">
        <f>(I24+F24)-C24</f>
        <v>331</v>
      </c>
    </row>
    <row r="25" spans="1:10" x14ac:dyDescent="0.25">
      <c r="C25">
        <v>133</v>
      </c>
      <c r="D25">
        <v>150</v>
      </c>
      <c r="E25" s="1">
        <f>D25*10%+D25</f>
        <v>165</v>
      </c>
      <c r="F25" s="1">
        <f>E25*10%+E25</f>
        <v>181.5</v>
      </c>
      <c r="H25" s="2">
        <f>D25+C25</f>
        <v>283</v>
      </c>
      <c r="I25" s="2">
        <f>(H25+D25)-C25</f>
        <v>300</v>
      </c>
      <c r="J25" s="2">
        <f>(I25+F25)-D25</f>
        <v>331.5</v>
      </c>
    </row>
    <row r="26" spans="1:10" x14ac:dyDescent="0.25">
      <c r="D26">
        <f>SUM(D2:D25)</f>
        <v>3500</v>
      </c>
      <c r="E26">
        <f>SUM(E2:E25)</f>
        <v>3850</v>
      </c>
      <c r="F26">
        <f>SUM(F2:F25)</f>
        <v>4235</v>
      </c>
      <c r="H26">
        <f>SUM(H2:H25)</f>
        <v>6625</v>
      </c>
      <c r="I26">
        <f>SUM(I2:I25)</f>
        <v>9574</v>
      </c>
      <c r="J26">
        <f>SUM(J2:J25)</f>
        <v>10485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25" workbookViewId="0">
      <selection activeCell="D40" sqref="D40"/>
    </sheetView>
  </sheetViews>
  <sheetFormatPr defaultRowHeight="15" x14ac:dyDescent="0.25"/>
  <cols>
    <col min="1" max="1" width="5.28515625" customWidth="1"/>
    <col min="2" max="2" width="27.7109375" customWidth="1"/>
    <col min="3" max="3" width="13.28515625" customWidth="1"/>
    <col min="4" max="4" width="14.5703125" customWidth="1"/>
    <col min="5" max="5" width="17.85546875" customWidth="1"/>
  </cols>
  <sheetData>
    <row r="1" spans="1:6" ht="36.75" customHeight="1" x14ac:dyDescent="0.25">
      <c r="A1" s="5" t="s">
        <v>7</v>
      </c>
      <c r="B1" s="9" t="s">
        <v>21</v>
      </c>
      <c r="C1" s="9" t="s">
        <v>22</v>
      </c>
      <c r="D1" s="9" t="s">
        <v>8</v>
      </c>
      <c r="E1" s="9" t="s">
        <v>9</v>
      </c>
      <c r="F1" s="3"/>
    </row>
    <row r="2" spans="1:6" ht="24" customHeight="1" x14ac:dyDescent="0.25">
      <c r="A2" s="6" t="s">
        <v>10</v>
      </c>
      <c r="B2" s="236" t="s">
        <v>11</v>
      </c>
      <c r="C2" s="237"/>
      <c r="D2" s="237"/>
      <c r="E2" s="238"/>
      <c r="F2" s="3"/>
    </row>
    <row r="3" spans="1:6" ht="21" customHeight="1" x14ac:dyDescent="0.25">
      <c r="A3" s="7">
        <v>1</v>
      </c>
      <c r="B3" s="10" t="s">
        <v>12</v>
      </c>
      <c r="C3" s="8">
        <v>640</v>
      </c>
      <c r="D3" s="19">
        <v>30000</v>
      </c>
      <c r="E3" s="11">
        <f>D3*C3</f>
        <v>19200000</v>
      </c>
      <c r="F3" s="3"/>
    </row>
    <row r="4" spans="1:6" ht="19.5" customHeight="1" x14ac:dyDescent="0.25">
      <c r="A4" s="8">
        <v>2</v>
      </c>
      <c r="B4" s="10" t="s">
        <v>13</v>
      </c>
      <c r="C4" s="8">
        <v>192</v>
      </c>
      <c r="D4" s="19">
        <v>55000</v>
      </c>
      <c r="E4" s="11">
        <f t="shared" ref="E4:E5" si="0">D4*C4</f>
        <v>10560000</v>
      </c>
      <c r="F4" s="3"/>
    </row>
    <row r="5" spans="1:6" ht="19.5" customHeight="1" x14ac:dyDescent="0.25">
      <c r="A5" s="8">
        <v>3</v>
      </c>
      <c r="B5" s="10" t="s">
        <v>14</v>
      </c>
      <c r="C5" s="8">
        <v>448</v>
      </c>
      <c r="D5" s="19">
        <v>40000</v>
      </c>
      <c r="E5" s="11">
        <f t="shared" si="0"/>
        <v>17920000</v>
      </c>
      <c r="F5" s="3"/>
    </row>
    <row r="6" spans="1:6" ht="20.25" customHeight="1" x14ac:dyDescent="0.25">
      <c r="A6" s="14" t="s">
        <v>15</v>
      </c>
      <c r="B6" s="236" t="s">
        <v>16</v>
      </c>
      <c r="C6" s="237"/>
      <c r="D6" s="237"/>
      <c r="E6" s="238"/>
      <c r="F6" s="3"/>
    </row>
    <row r="7" spans="1:6" ht="21" customHeight="1" x14ac:dyDescent="0.25">
      <c r="A7" s="7">
        <v>1</v>
      </c>
      <c r="B7" s="15" t="s">
        <v>12</v>
      </c>
      <c r="C7" s="8">
        <v>640</v>
      </c>
      <c r="D7" s="20">
        <v>90000</v>
      </c>
      <c r="E7" s="4">
        <f>C7*D7</f>
        <v>57600000</v>
      </c>
      <c r="F7" s="3"/>
    </row>
    <row r="8" spans="1:6" ht="20.25" customHeight="1" x14ac:dyDescent="0.25">
      <c r="A8" s="7">
        <v>2</v>
      </c>
      <c r="B8" s="15" t="s">
        <v>13</v>
      </c>
      <c r="C8" s="8">
        <v>192</v>
      </c>
      <c r="D8" s="4">
        <v>55000</v>
      </c>
      <c r="E8" s="4">
        <f t="shared" ref="E8:E9" si="1">C8*D8</f>
        <v>10560000</v>
      </c>
      <c r="F8" s="3"/>
    </row>
    <row r="9" spans="1:6" ht="23.25" customHeight="1" x14ac:dyDescent="0.25">
      <c r="A9" s="7">
        <v>3</v>
      </c>
      <c r="B9" s="15" t="s">
        <v>14</v>
      </c>
      <c r="C9" s="8">
        <v>448</v>
      </c>
      <c r="D9" s="4">
        <v>40000</v>
      </c>
      <c r="E9" s="4">
        <f t="shared" si="1"/>
        <v>17920000</v>
      </c>
      <c r="F9" s="3"/>
    </row>
    <row r="10" spans="1:6" ht="22.5" customHeight="1" x14ac:dyDescent="0.25">
      <c r="A10" s="16" t="s">
        <v>20</v>
      </c>
      <c r="B10" s="239" t="s">
        <v>19</v>
      </c>
      <c r="C10" s="240"/>
      <c r="D10" s="240"/>
      <c r="E10" s="241"/>
      <c r="F10" s="3"/>
    </row>
    <row r="11" spans="1:6" ht="22.5" customHeight="1" x14ac:dyDescent="0.25">
      <c r="A11" s="8">
        <v>1</v>
      </c>
      <c r="B11" s="10" t="s">
        <v>12</v>
      </c>
      <c r="C11" s="13" t="s">
        <v>17</v>
      </c>
      <c r="D11" s="11">
        <v>110000</v>
      </c>
      <c r="E11" s="11">
        <v>4500000</v>
      </c>
      <c r="F11" s="3"/>
    </row>
    <row r="12" spans="1:6" ht="24" customHeight="1" x14ac:dyDescent="0.25">
      <c r="A12" s="7">
        <v>2</v>
      </c>
      <c r="B12" s="10" t="s">
        <v>13</v>
      </c>
      <c r="C12" s="13" t="s">
        <v>17</v>
      </c>
      <c r="D12" s="11">
        <v>25000</v>
      </c>
      <c r="E12" s="11">
        <v>2500000</v>
      </c>
      <c r="F12" s="3"/>
    </row>
    <row r="13" spans="1:6" ht="23.25" customHeight="1" x14ac:dyDescent="0.25">
      <c r="A13" s="8">
        <v>3</v>
      </c>
      <c r="B13" s="10" t="s">
        <v>14</v>
      </c>
      <c r="C13" s="13" t="s">
        <v>17</v>
      </c>
      <c r="D13" s="11">
        <v>20000</v>
      </c>
      <c r="E13" s="11">
        <v>2000000</v>
      </c>
      <c r="F13" s="3"/>
    </row>
    <row r="14" spans="1:6" ht="23.25" customHeight="1" x14ac:dyDescent="0.25">
      <c r="A14" s="242" t="s">
        <v>18</v>
      </c>
      <c r="B14" s="242"/>
      <c r="C14" s="6"/>
      <c r="D14" s="6"/>
      <c r="E14" s="17">
        <f>SUM(E2:E13)</f>
        <v>142760000</v>
      </c>
      <c r="F14" s="3"/>
    </row>
    <row r="15" spans="1:6" x14ac:dyDescent="0.25">
      <c r="B15" s="12"/>
      <c r="C15" s="12"/>
    </row>
    <row r="16" spans="1:6" x14ac:dyDescent="0.25">
      <c r="D16" s="18">
        <f>E14*10%</f>
        <v>14276000</v>
      </c>
    </row>
    <row r="17" spans="1:5" x14ac:dyDescent="0.25">
      <c r="D17">
        <v>6</v>
      </c>
    </row>
    <row r="18" spans="1:5" x14ac:dyDescent="0.25">
      <c r="D18" s="18">
        <f>D16*D17</f>
        <v>85656000</v>
      </c>
    </row>
    <row r="19" spans="1:5" x14ac:dyDescent="0.25">
      <c r="A19" t="s">
        <v>23</v>
      </c>
    </row>
    <row r="20" spans="1:5" ht="15.75" thickBot="1" x14ac:dyDescent="0.3"/>
    <row r="21" spans="1:5" ht="33" x14ac:dyDescent="0.25">
      <c r="A21" s="5" t="s">
        <v>7</v>
      </c>
      <c r="B21" s="9" t="s">
        <v>21</v>
      </c>
      <c r="C21" s="9" t="s">
        <v>22</v>
      </c>
      <c r="D21" s="9" t="s">
        <v>8</v>
      </c>
      <c r="E21" s="9" t="s">
        <v>9</v>
      </c>
    </row>
    <row r="22" spans="1:5" ht="16.5" x14ac:dyDescent="0.25">
      <c r="A22" s="6" t="s">
        <v>10</v>
      </c>
      <c r="B22" s="236" t="s">
        <v>11</v>
      </c>
      <c r="C22" s="237"/>
      <c r="D22" s="237"/>
      <c r="E22" s="238"/>
    </row>
    <row r="23" spans="1:5" ht="16.5" x14ac:dyDescent="0.25">
      <c r="A23" s="7">
        <v>1</v>
      </c>
      <c r="B23" s="10" t="s">
        <v>12</v>
      </c>
      <c r="C23" s="8">
        <v>640</v>
      </c>
      <c r="D23" s="11">
        <v>25000</v>
      </c>
      <c r="E23" s="11">
        <f>D23*C23</f>
        <v>16000000</v>
      </c>
    </row>
    <row r="24" spans="1:5" ht="16.5" x14ac:dyDescent="0.25">
      <c r="A24" s="8">
        <v>2</v>
      </c>
      <c r="B24" s="10" t="s">
        <v>13</v>
      </c>
      <c r="C24" s="8">
        <v>192</v>
      </c>
      <c r="D24" s="11">
        <v>50000</v>
      </c>
      <c r="E24" s="11">
        <f t="shared" ref="E24:E25" si="2">D24*C24</f>
        <v>9600000</v>
      </c>
    </row>
    <row r="25" spans="1:5" ht="16.5" x14ac:dyDescent="0.25">
      <c r="A25" s="8">
        <v>3</v>
      </c>
      <c r="B25" s="10" t="s">
        <v>14</v>
      </c>
      <c r="C25" s="8">
        <v>448</v>
      </c>
      <c r="D25" s="11">
        <v>35000</v>
      </c>
      <c r="E25" s="11">
        <f t="shared" si="2"/>
        <v>15680000</v>
      </c>
    </row>
    <row r="26" spans="1:5" ht="16.5" x14ac:dyDescent="0.25">
      <c r="A26" s="14" t="s">
        <v>15</v>
      </c>
      <c r="B26" s="236" t="s">
        <v>16</v>
      </c>
      <c r="C26" s="237"/>
      <c r="D26" s="237"/>
      <c r="E26" s="238"/>
    </row>
    <row r="27" spans="1:5" ht="16.5" x14ac:dyDescent="0.25">
      <c r="A27" s="7">
        <v>1</v>
      </c>
      <c r="B27" s="15" t="s">
        <v>12</v>
      </c>
      <c r="C27" s="8">
        <v>640</v>
      </c>
      <c r="D27" s="4">
        <v>105000</v>
      </c>
      <c r="E27" s="4">
        <f>C27*D27</f>
        <v>67200000</v>
      </c>
    </row>
    <row r="28" spans="1:5" ht="16.5" x14ac:dyDescent="0.25">
      <c r="A28" s="7">
        <v>2</v>
      </c>
      <c r="B28" s="15" t="s">
        <v>13</v>
      </c>
      <c r="C28" s="8">
        <v>192</v>
      </c>
      <c r="D28" s="4">
        <v>25000</v>
      </c>
      <c r="E28" s="4">
        <f t="shared" ref="E28:E29" si="3">C28*D28</f>
        <v>4800000</v>
      </c>
    </row>
    <row r="29" spans="1:5" ht="16.5" x14ac:dyDescent="0.25">
      <c r="A29" s="7">
        <v>3</v>
      </c>
      <c r="B29" s="15" t="s">
        <v>14</v>
      </c>
      <c r="C29" s="8">
        <v>448</v>
      </c>
      <c r="D29" s="4">
        <v>15000</v>
      </c>
      <c r="E29" s="4">
        <f t="shared" si="3"/>
        <v>6720000</v>
      </c>
    </row>
    <row r="30" spans="1:5" ht="16.5" x14ac:dyDescent="0.25">
      <c r="A30" s="16" t="s">
        <v>20</v>
      </c>
      <c r="B30" s="239" t="s">
        <v>19</v>
      </c>
      <c r="C30" s="240"/>
      <c r="D30" s="240"/>
      <c r="E30" s="241"/>
    </row>
    <row r="31" spans="1:5" ht="16.5" x14ac:dyDescent="0.25">
      <c r="A31" s="8">
        <v>1</v>
      </c>
      <c r="B31" s="10" t="s">
        <v>12</v>
      </c>
      <c r="C31" s="13" t="s">
        <v>17</v>
      </c>
      <c r="D31" s="11">
        <v>45000</v>
      </c>
      <c r="E31" s="11">
        <v>4500000</v>
      </c>
    </row>
    <row r="32" spans="1:5" ht="16.5" x14ac:dyDescent="0.25">
      <c r="A32" s="7">
        <v>2</v>
      </c>
      <c r="B32" s="10" t="s">
        <v>13</v>
      </c>
      <c r="C32" s="13" t="s">
        <v>17</v>
      </c>
      <c r="D32" s="11">
        <v>25000</v>
      </c>
      <c r="E32" s="11">
        <v>2500000</v>
      </c>
    </row>
    <row r="33" spans="1:5" ht="16.5" x14ac:dyDescent="0.25">
      <c r="A33" s="8">
        <v>3</v>
      </c>
      <c r="B33" s="10" t="s">
        <v>14</v>
      </c>
      <c r="C33" s="13" t="s">
        <v>17</v>
      </c>
      <c r="D33" s="11">
        <v>20000</v>
      </c>
      <c r="E33" s="11">
        <v>2000000</v>
      </c>
    </row>
    <row r="34" spans="1:5" ht="16.5" x14ac:dyDescent="0.25">
      <c r="A34" s="242" t="s">
        <v>18</v>
      </c>
      <c r="B34" s="242"/>
      <c r="C34" s="6"/>
      <c r="D34" s="6"/>
      <c r="E34" s="17">
        <f>SUM(E22:E33)</f>
        <v>129000000</v>
      </c>
    </row>
    <row r="36" spans="1:5" x14ac:dyDescent="0.25">
      <c r="D36" s="18">
        <f>E34*10%</f>
        <v>12900000</v>
      </c>
    </row>
    <row r="37" spans="1:5" x14ac:dyDescent="0.25">
      <c r="D37">
        <v>7</v>
      </c>
    </row>
    <row r="38" spans="1:5" x14ac:dyDescent="0.25">
      <c r="D38" s="18">
        <f>D36*D37</f>
        <v>90300000</v>
      </c>
    </row>
  </sheetData>
  <mergeCells count="8">
    <mergeCell ref="B22:E22"/>
    <mergeCell ref="B26:E26"/>
    <mergeCell ref="B30:E30"/>
    <mergeCell ref="A34:B34"/>
    <mergeCell ref="B2:E2"/>
    <mergeCell ref="B6:E6"/>
    <mergeCell ref="B10:E10"/>
    <mergeCell ref="A14:B1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C31" workbookViewId="0">
      <selection activeCell="C13" sqref="C13"/>
    </sheetView>
  </sheetViews>
  <sheetFormatPr defaultRowHeight="18.75" x14ac:dyDescent="0.3"/>
  <cols>
    <col min="1" max="1" width="5.85546875" customWidth="1"/>
    <col min="2" max="2" width="55.42578125" customWidth="1"/>
    <col min="3" max="3" width="26" style="111" customWidth="1"/>
    <col min="4" max="5" width="19" customWidth="1"/>
    <col min="6" max="6" width="18.28515625" customWidth="1"/>
    <col min="7" max="8" width="20.7109375" customWidth="1"/>
    <col min="9" max="9" width="18.42578125" bestFit="1" customWidth="1"/>
    <col min="10" max="10" width="22.28515625" customWidth="1"/>
  </cols>
  <sheetData>
    <row r="1" spans="1:10" ht="27" x14ac:dyDescent="0.35">
      <c r="A1" s="248" t="s">
        <v>124</v>
      </c>
      <c r="B1" s="248"/>
      <c r="C1" s="248"/>
      <c r="D1" s="248"/>
      <c r="E1" s="248"/>
      <c r="F1" s="248"/>
      <c r="G1" s="193"/>
      <c r="H1" s="193"/>
    </row>
    <row r="2" spans="1:10" ht="15" customHeight="1" x14ac:dyDescent="0.25">
      <c r="A2" s="134"/>
      <c r="B2" s="134"/>
      <c r="C2" s="135"/>
      <c r="D2" s="135"/>
      <c r="E2" s="135"/>
      <c r="F2" s="135"/>
      <c r="G2" s="135"/>
      <c r="H2" s="135"/>
    </row>
    <row r="3" spans="1:10" ht="36" customHeight="1" x14ac:dyDescent="0.25">
      <c r="A3" s="249" t="s">
        <v>24</v>
      </c>
      <c r="B3" s="251" t="s">
        <v>25</v>
      </c>
      <c r="C3" s="253" t="s">
        <v>112</v>
      </c>
      <c r="D3" s="254"/>
      <c r="E3" s="254"/>
      <c r="F3" s="255"/>
      <c r="G3" s="194" t="s">
        <v>140</v>
      </c>
      <c r="H3" s="194"/>
      <c r="I3" t="s">
        <v>138</v>
      </c>
      <c r="J3" t="s">
        <v>139</v>
      </c>
    </row>
    <row r="4" spans="1:10" ht="36" customHeight="1" x14ac:dyDescent="0.3">
      <c r="A4" s="250"/>
      <c r="B4" s="252"/>
      <c r="C4" s="94" t="s">
        <v>118</v>
      </c>
      <c r="D4" s="26" t="s">
        <v>26</v>
      </c>
      <c r="E4" s="22" t="s">
        <v>27</v>
      </c>
      <c r="F4" s="26" t="s">
        <v>28</v>
      </c>
      <c r="G4" s="195"/>
      <c r="H4" s="195"/>
      <c r="I4" s="74"/>
    </row>
    <row r="5" spans="1:10" ht="36" customHeight="1" x14ac:dyDescent="0.3">
      <c r="A5" s="124">
        <v>1</v>
      </c>
      <c r="B5" s="106" t="s">
        <v>117</v>
      </c>
      <c r="C5" s="116">
        <f>C6+C7</f>
        <v>1300000</v>
      </c>
      <c r="D5" s="86"/>
      <c r="E5" s="86"/>
      <c r="F5" s="24"/>
      <c r="G5" s="196"/>
      <c r="H5" s="196"/>
      <c r="I5" s="74">
        <f>C5</f>
        <v>1300000</v>
      </c>
    </row>
    <row r="6" spans="1:10" ht="36" customHeight="1" x14ac:dyDescent="0.3">
      <c r="A6" s="25" t="s">
        <v>33</v>
      </c>
      <c r="B6" s="127" t="s">
        <v>30</v>
      </c>
      <c r="C6" s="129">
        <f>D6+E6+F6</f>
        <v>1000000</v>
      </c>
      <c r="D6" s="120">
        <v>500000</v>
      </c>
      <c r="E6" s="120">
        <v>500000</v>
      </c>
      <c r="F6" s="130"/>
      <c r="G6" s="197"/>
      <c r="H6" s="197"/>
      <c r="I6" s="74"/>
    </row>
    <row r="7" spans="1:10" ht="36" customHeight="1" x14ac:dyDescent="0.3">
      <c r="A7" s="23" t="s">
        <v>34</v>
      </c>
      <c r="B7" s="128" t="s">
        <v>32</v>
      </c>
      <c r="C7" s="129">
        <f>D7+E7+F7</f>
        <v>300000</v>
      </c>
      <c r="D7" s="120">
        <v>100000</v>
      </c>
      <c r="E7" s="120">
        <v>100000</v>
      </c>
      <c r="F7" s="120">
        <v>100000</v>
      </c>
      <c r="G7" s="198"/>
      <c r="H7" s="198"/>
      <c r="I7" s="74"/>
    </row>
    <row r="8" spans="1:10" s="33" customFormat="1" ht="36" customHeight="1" x14ac:dyDescent="0.25">
      <c r="A8" s="124">
        <v>2</v>
      </c>
      <c r="B8" s="106" t="s">
        <v>35</v>
      </c>
      <c r="C8" s="112">
        <f>D8+E8+F8</f>
        <v>267374648</v>
      </c>
      <c r="D8" s="51">
        <v>8015172</v>
      </c>
      <c r="E8" s="138">
        <v>240630476</v>
      </c>
      <c r="F8" s="30">
        <v>18729000</v>
      </c>
      <c r="G8" s="199">
        <f>C8-GIATRIDAUTU!J21</f>
        <v>262334648</v>
      </c>
      <c r="H8" s="199">
        <f>G8-J8</f>
        <v>62659842</v>
      </c>
      <c r="I8" s="208">
        <f>H8/1.1</f>
        <v>56963492.727272719</v>
      </c>
      <c r="J8" s="216">
        <v>199674806</v>
      </c>
    </row>
    <row r="9" spans="1:10" ht="36" customHeight="1" x14ac:dyDescent="0.3">
      <c r="A9" s="123">
        <v>3</v>
      </c>
      <c r="B9" s="113" t="s">
        <v>38</v>
      </c>
      <c r="C9" s="112">
        <f t="shared" ref="C9:C13" si="0">D9+E9+F9</f>
        <v>15800000</v>
      </c>
      <c r="D9" s="75">
        <v>15800000</v>
      </c>
      <c r="E9" s="23"/>
      <c r="F9" s="24"/>
      <c r="G9" s="207">
        <f>C9-GIATRIDAUTU!J22</f>
        <v>9800000</v>
      </c>
      <c r="H9" s="207"/>
      <c r="I9" s="208">
        <f>G9/1.1</f>
        <v>8909090.9090909082</v>
      </c>
      <c r="J9" s="118"/>
    </row>
    <row r="10" spans="1:10" ht="36" customHeight="1" x14ac:dyDescent="0.3">
      <c r="A10" s="124">
        <v>4</v>
      </c>
      <c r="B10" s="114" t="s">
        <v>36</v>
      </c>
      <c r="C10" s="112">
        <f t="shared" si="0"/>
        <v>3000000</v>
      </c>
      <c r="D10" s="76">
        <v>3000000</v>
      </c>
      <c r="E10" s="36"/>
      <c r="F10" s="35"/>
      <c r="G10" s="200"/>
      <c r="H10" s="200"/>
      <c r="I10" s="74">
        <f>C10</f>
        <v>3000000</v>
      </c>
      <c r="J10" s="74"/>
    </row>
    <row r="11" spans="1:10" ht="36" customHeight="1" x14ac:dyDescent="0.3">
      <c r="A11" s="123">
        <v>5</v>
      </c>
      <c r="B11" s="114" t="s">
        <v>37</v>
      </c>
      <c r="C11" s="112">
        <f t="shared" si="0"/>
        <v>1500000</v>
      </c>
      <c r="D11" s="39">
        <v>1500000</v>
      </c>
      <c r="E11" s="11"/>
      <c r="F11" s="11"/>
      <c r="G11" s="201"/>
      <c r="H11" s="201"/>
      <c r="I11" s="74">
        <f>C11</f>
        <v>1500000</v>
      </c>
      <c r="J11" s="74"/>
    </row>
    <row r="12" spans="1:10" ht="36" customHeight="1" x14ac:dyDescent="0.3">
      <c r="A12" s="123">
        <v>6</v>
      </c>
      <c r="B12" s="126" t="s">
        <v>39</v>
      </c>
      <c r="C12" s="112">
        <f t="shared" si="0"/>
        <v>4000000</v>
      </c>
      <c r="D12" s="31">
        <v>1000000</v>
      </c>
      <c r="E12" s="31">
        <v>1000000</v>
      </c>
      <c r="F12" s="31">
        <v>2000000</v>
      </c>
      <c r="G12" s="199"/>
      <c r="H12" s="199"/>
      <c r="I12" s="74">
        <f>C12</f>
        <v>4000000</v>
      </c>
      <c r="J12" s="74"/>
    </row>
    <row r="13" spans="1:10" ht="36" customHeight="1" x14ac:dyDescent="0.3">
      <c r="A13" s="132">
        <v>7</v>
      </c>
      <c r="B13" s="40" t="s">
        <v>119</v>
      </c>
      <c r="C13" s="112">
        <f t="shared" si="0"/>
        <v>15140995.026934182</v>
      </c>
      <c r="D13" s="91">
        <v>2799059.2851683456</v>
      </c>
      <c r="E13" s="91">
        <v>8286220.3840107098</v>
      </c>
      <c r="F13" s="91">
        <v>4055715.357755126</v>
      </c>
      <c r="G13" s="202"/>
      <c r="H13" s="202"/>
      <c r="I13" s="74"/>
      <c r="J13" s="74"/>
    </row>
    <row r="14" spans="1:10" ht="36" customHeight="1" x14ac:dyDescent="0.3">
      <c r="A14" s="29"/>
      <c r="B14" s="94" t="s">
        <v>31</v>
      </c>
      <c r="C14" s="136">
        <f>C5+C8+C9+C10+C11+C12+C13</f>
        <v>308115643.02693421</v>
      </c>
      <c r="D14" s="131">
        <f t="shared" ref="D14:F14" si="1">D5+D8+D9+D10+D11+D12+D13</f>
        <v>32114231.285168346</v>
      </c>
      <c r="E14" s="131">
        <f t="shared" si="1"/>
        <v>249916696.3840107</v>
      </c>
      <c r="F14" s="131">
        <f t="shared" si="1"/>
        <v>24784715.357755125</v>
      </c>
      <c r="G14" s="203"/>
      <c r="H14" s="203"/>
      <c r="I14" s="74">
        <f>SUM(I5:I13)</f>
        <v>75672583.636363626</v>
      </c>
      <c r="J14" s="74"/>
    </row>
    <row r="15" spans="1:10" ht="36" customHeight="1" x14ac:dyDescent="0.3">
      <c r="E15" s="34"/>
      <c r="J15" s="46"/>
    </row>
    <row r="16" spans="1:10" ht="36" customHeight="1" x14ac:dyDescent="0.3">
      <c r="B16" s="143" t="s">
        <v>120</v>
      </c>
      <c r="C16" s="137" t="s">
        <v>111</v>
      </c>
      <c r="D16" s="117" t="e">
        <f>#REF!</f>
        <v>#REF!</v>
      </c>
    </row>
    <row r="17" spans="1:8" ht="36" customHeight="1" x14ac:dyDescent="0.3">
      <c r="C17" s="137" t="s">
        <v>121</v>
      </c>
      <c r="D17" s="91" t="e">
        <f>E8-D16</f>
        <v>#REF!</v>
      </c>
      <c r="E17" s="21"/>
      <c r="F17" s="21"/>
      <c r="G17" s="21"/>
      <c r="H17" s="21"/>
    </row>
    <row r="18" spans="1:8" ht="36" customHeight="1" x14ac:dyDescent="0.3">
      <c r="C18" s="137" t="s">
        <v>122</v>
      </c>
      <c r="D18" s="119" t="e">
        <f>D16+D17</f>
        <v>#REF!</v>
      </c>
      <c r="E18" s="21"/>
      <c r="F18" s="21"/>
      <c r="G18" s="21"/>
      <c r="H18" s="21"/>
    </row>
    <row r="19" spans="1:8" ht="36" customHeight="1" x14ac:dyDescent="0.3">
      <c r="B19" s="18"/>
      <c r="C19" s="115"/>
      <c r="D19" s="18"/>
      <c r="E19" s="18"/>
      <c r="F19" s="18"/>
      <c r="G19" s="18"/>
      <c r="H19" s="18"/>
    </row>
    <row r="20" spans="1:8" ht="36" customHeight="1" x14ac:dyDescent="0.35">
      <c r="A20" s="248" t="s">
        <v>123</v>
      </c>
      <c r="B20" s="248"/>
      <c r="C20" s="248"/>
      <c r="D20" s="248"/>
      <c r="E20" s="248"/>
      <c r="F20" s="248"/>
      <c r="G20" s="193"/>
      <c r="H20" s="193"/>
    </row>
    <row r="21" spans="1:8" ht="36" customHeight="1" x14ac:dyDescent="0.3"/>
    <row r="22" spans="1:8" ht="36" customHeight="1" x14ac:dyDescent="0.3">
      <c r="A22" s="243" t="s">
        <v>24</v>
      </c>
      <c r="B22" s="243" t="s">
        <v>99</v>
      </c>
      <c r="C22" s="243" t="s">
        <v>125</v>
      </c>
      <c r="D22" s="245" t="s">
        <v>112</v>
      </c>
      <c r="E22" s="246"/>
      <c r="F22" s="247"/>
      <c r="G22" s="204"/>
      <c r="H22" s="204"/>
    </row>
    <row r="23" spans="1:8" ht="36" customHeight="1" x14ac:dyDescent="0.3">
      <c r="A23" s="244"/>
      <c r="B23" s="244"/>
      <c r="C23" s="244"/>
      <c r="D23" s="92" t="s">
        <v>26</v>
      </c>
      <c r="E23" s="92" t="s">
        <v>27</v>
      </c>
      <c r="F23" s="92" t="s">
        <v>28</v>
      </c>
      <c r="G23" s="204"/>
      <c r="H23" s="204"/>
    </row>
    <row r="24" spans="1:8" ht="36" customHeight="1" x14ac:dyDescent="0.3">
      <c r="A24" s="44">
        <v>1</v>
      </c>
      <c r="B24" s="44" t="s">
        <v>29</v>
      </c>
      <c r="C24" s="82">
        <f>C5</f>
        <v>1300000</v>
      </c>
      <c r="D24" s="91"/>
      <c r="E24" s="91"/>
      <c r="F24" s="91"/>
      <c r="G24" s="202"/>
      <c r="H24" s="202"/>
    </row>
    <row r="25" spans="1:8" ht="36" customHeight="1" x14ac:dyDescent="0.3">
      <c r="A25" s="139" t="s">
        <v>33</v>
      </c>
      <c r="B25" s="139" t="s">
        <v>30</v>
      </c>
      <c r="C25" s="140">
        <f>C6</f>
        <v>1000000</v>
      </c>
      <c r="D25" s="141">
        <v>500000</v>
      </c>
      <c r="E25" s="141">
        <v>500000</v>
      </c>
      <c r="F25" s="141"/>
      <c r="G25" s="205"/>
      <c r="H25" s="205"/>
    </row>
    <row r="26" spans="1:8" ht="36" customHeight="1" x14ac:dyDescent="0.3">
      <c r="A26" s="139" t="s">
        <v>34</v>
      </c>
      <c r="B26" s="142" t="s">
        <v>32</v>
      </c>
      <c r="C26" s="140">
        <f>C7</f>
        <v>300000</v>
      </c>
      <c r="D26" s="141">
        <v>100000</v>
      </c>
      <c r="E26" s="141">
        <v>100000</v>
      </c>
      <c r="F26" s="141">
        <v>100000</v>
      </c>
      <c r="G26" s="205"/>
      <c r="H26" s="205"/>
    </row>
    <row r="27" spans="1:8" ht="36" customHeight="1" x14ac:dyDescent="0.3">
      <c r="A27" s="48">
        <v>2</v>
      </c>
      <c r="B27" s="44" t="s">
        <v>35</v>
      </c>
      <c r="C27" s="82">
        <f>D27+E27+F27</f>
        <v>112699842</v>
      </c>
      <c r="D27" s="91">
        <v>8015172</v>
      </c>
      <c r="E27" s="91">
        <v>70955670</v>
      </c>
      <c r="F27" s="91">
        <v>33729000</v>
      </c>
      <c r="G27" s="202"/>
      <c r="H27" s="202"/>
    </row>
    <row r="28" spans="1:8" ht="36" customHeight="1" x14ac:dyDescent="0.3">
      <c r="A28" s="48">
        <v>3</v>
      </c>
      <c r="B28" s="44" t="s">
        <v>38</v>
      </c>
      <c r="C28" s="82">
        <f t="shared" ref="C28:C31" si="2">D28+E28+F28</f>
        <v>15800000</v>
      </c>
      <c r="D28" s="91">
        <v>15800000</v>
      </c>
      <c r="E28" s="91"/>
      <c r="F28" s="91"/>
      <c r="G28" s="202"/>
      <c r="H28" s="202"/>
    </row>
    <row r="29" spans="1:8" ht="36" customHeight="1" x14ac:dyDescent="0.3">
      <c r="A29" s="48">
        <v>4</v>
      </c>
      <c r="B29" s="44" t="s">
        <v>36</v>
      </c>
      <c r="C29" s="82">
        <f t="shared" si="2"/>
        <v>3527868</v>
      </c>
      <c r="D29" s="91">
        <v>3175956</v>
      </c>
      <c r="E29" s="91">
        <v>175956</v>
      </c>
      <c r="F29" s="91">
        <v>175956</v>
      </c>
      <c r="G29" s="202"/>
      <c r="H29" s="202"/>
    </row>
    <row r="30" spans="1:8" ht="36" customHeight="1" x14ac:dyDescent="0.3">
      <c r="A30" s="48">
        <v>5</v>
      </c>
      <c r="B30" s="44" t="s">
        <v>37</v>
      </c>
      <c r="C30" s="82">
        <f t="shared" si="2"/>
        <v>3160000</v>
      </c>
      <c r="D30" s="91">
        <v>2124000</v>
      </c>
      <c r="E30" s="91">
        <v>543000</v>
      </c>
      <c r="F30" s="91">
        <v>493000</v>
      </c>
      <c r="G30" s="202"/>
      <c r="H30" s="202"/>
    </row>
    <row r="31" spans="1:8" ht="36" customHeight="1" x14ac:dyDescent="0.3">
      <c r="A31" s="48">
        <v>6</v>
      </c>
      <c r="B31" s="44" t="s">
        <v>39</v>
      </c>
      <c r="C31" s="82">
        <f t="shared" si="2"/>
        <v>4000000</v>
      </c>
      <c r="D31" s="91">
        <v>1000000</v>
      </c>
      <c r="E31" s="91">
        <v>1000000</v>
      </c>
      <c r="F31" s="91">
        <v>2000000</v>
      </c>
      <c r="G31" s="202"/>
      <c r="H31" s="202"/>
    </row>
    <row r="32" spans="1:8" ht="36" customHeight="1" x14ac:dyDescent="0.3">
      <c r="A32" s="48">
        <v>7</v>
      </c>
      <c r="B32" s="44" t="s">
        <v>98</v>
      </c>
      <c r="C32" s="82">
        <f>D32+E32+F32</f>
        <v>24435269</v>
      </c>
      <c r="D32" s="91">
        <v>2967708</v>
      </c>
      <c r="E32" s="91">
        <v>14329876</v>
      </c>
      <c r="F32" s="91">
        <v>7137685</v>
      </c>
      <c r="G32" s="202"/>
      <c r="H32" s="202"/>
    </row>
    <row r="33" spans="1:8" ht="36" customHeight="1" x14ac:dyDescent="0.3">
      <c r="A33" s="44"/>
      <c r="B33" s="45" t="s">
        <v>110</v>
      </c>
      <c r="C33" s="78">
        <f>C24+C27+C28+C29+C30+C31+C32</f>
        <v>164922979</v>
      </c>
      <c r="D33" s="78">
        <f>SUM(D25:D32)</f>
        <v>33682836</v>
      </c>
      <c r="E33" s="78">
        <f t="shared" ref="E33:F33" si="3">SUM(E25:E32)</f>
        <v>87604502</v>
      </c>
      <c r="F33" s="78">
        <f t="shared" si="3"/>
        <v>43635641</v>
      </c>
      <c r="G33" s="206"/>
      <c r="H33" s="206"/>
    </row>
    <row r="34" spans="1:8" x14ac:dyDescent="0.3">
      <c r="E34" s="18"/>
    </row>
    <row r="35" spans="1:8" x14ac:dyDescent="0.3">
      <c r="E35" s="18"/>
      <c r="F35" s="18"/>
      <c r="G35" s="18"/>
      <c r="H35" s="18"/>
    </row>
    <row r="36" spans="1:8" x14ac:dyDescent="0.3">
      <c r="C36" s="115"/>
      <c r="E36" s="105"/>
    </row>
  </sheetData>
  <mergeCells count="9">
    <mergeCell ref="A22:A23"/>
    <mergeCell ref="B22:B23"/>
    <mergeCell ref="C22:C23"/>
    <mergeCell ref="D22:F22"/>
    <mergeCell ref="A1:F1"/>
    <mergeCell ref="A3:A4"/>
    <mergeCell ref="B3:B4"/>
    <mergeCell ref="C3:F3"/>
    <mergeCell ref="A20:F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3" workbookViewId="0">
      <selection activeCell="D34" sqref="D34"/>
    </sheetView>
  </sheetViews>
  <sheetFormatPr defaultRowHeight="15" x14ac:dyDescent="0.25"/>
  <cols>
    <col min="2" max="2" width="18.140625" bestFit="1" customWidth="1"/>
    <col min="3" max="3" width="22.140625" customWidth="1"/>
    <col min="4" max="4" width="19.5703125" customWidth="1"/>
    <col min="5" max="5" width="17.85546875" customWidth="1"/>
    <col min="7" max="7" width="32.5703125" customWidth="1"/>
  </cols>
  <sheetData>
    <row r="1" spans="1:12" x14ac:dyDescent="0.25">
      <c r="A1" s="52" t="s">
        <v>45</v>
      </c>
      <c r="F1" t="s">
        <v>46</v>
      </c>
      <c r="G1" s="53"/>
      <c r="K1" s="1">
        <v>0.47499999999999998</v>
      </c>
      <c r="L1" s="1" t="s">
        <v>47</v>
      </c>
    </row>
    <row r="2" spans="1:12" ht="16.5" x14ac:dyDescent="0.25">
      <c r="F2" t="s">
        <v>48</v>
      </c>
      <c r="K2" s="1">
        <v>0.65</v>
      </c>
      <c r="L2" s="54" t="s">
        <v>49</v>
      </c>
    </row>
    <row r="3" spans="1:12" x14ac:dyDescent="0.25">
      <c r="F3" t="s">
        <v>50</v>
      </c>
      <c r="K3" s="1">
        <v>10</v>
      </c>
      <c r="L3" s="1"/>
    </row>
    <row r="4" spans="1:12" x14ac:dyDescent="0.25">
      <c r="F4" t="s">
        <v>51</v>
      </c>
      <c r="K4" s="1">
        <v>50</v>
      </c>
      <c r="L4" s="1"/>
    </row>
    <row r="5" spans="1:12" x14ac:dyDescent="0.25">
      <c r="A5" t="s">
        <v>52</v>
      </c>
      <c r="B5" t="s">
        <v>53</v>
      </c>
      <c r="F5" t="s">
        <v>54</v>
      </c>
      <c r="G5" s="21"/>
      <c r="K5" s="55"/>
      <c r="L5" s="1" t="s">
        <v>55</v>
      </c>
    </row>
    <row r="6" spans="1:12" ht="16.5" x14ac:dyDescent="0.25">
      <c r="B6">
        <f>3.08-(3.08-2.99)/(500000000-200000000)*(261889273-200000000)</f>
        <v>3.0614332180999999</v>
      </c>
      <c r="F6" s="56" t="s">
        <v>56</v>
      </c>
      <c r="G6" s="57"/>
      <c r="H6" s="56">
        <f>G6/100</f>
        <v>0</v>
      </c>
      <c r="I6" s="56"/>
      <c r="J6" s="56"/>
      <c r="K6" s="58"/>
      <c r="L6" s="1" t="s">
        <v>57</v>
      </c>
    </row>
    <row r="7" spans="1:12" x14ac:dyDescent="0.25">
      <c r="K7" s="1"/>
      <c r="L7" s="1" t="s">
        <v>58</v>
      </c>
    </row>
    <row r="8" spans="1:12" x14ac:dyDescent="0.25">
      <c r="G8" s="53"/>
      <c r="H8" s="53"/>
      <c r="I8" s="53"/>
      <c r="J8" s="53"/>
      <c r="K8" s="59"/>
      <c r="L8" s="1" t="s">
        <v>59</v>
      </c>
    </row>
    <row r="9" spans="1:12" ht="18.75" x14ac:dyDescent="0.3">
      <c r="E9" s="60" t="s">
        <v>60</v>
      </c>
      <c r="K9" s="1"/>
      <c r="L9" s="1"/>
    </row>
    <row r="10" spans="1:12" x14ac:dyDescent="0.25">
      <c r="B10" s="50" t="s">
        <v>61</v>
      </c>
      <c r="C10" s="50" t="s">
        <v>62</v>
      </c>
      <c r="D10" s="50" t="s">
        <v>63</v>
      </c>
      <c r="E10" t="s">
        <v>64</v>
      </c>
      <c r="G10" t="s">
        <v>65</v>
      </c>
      <c r="H10" s="61"/>
      <c r="I10" s="61"/>
      <c r="J10" s="61"/>
      <c r="K10" s="62"/>
      <c r="L10" s="1"/>
    </row>
    <row r="11" spans="1:12" x14ac:dyDescent="0.25">
      <c r="A11" t="s">
        <v>46</v>
      </c>
      <c r="B11">
        <v>1.921</v>
      </c>
      <c r="C11">
        <v>0.53400000000000003</v>
      </c>
      <c r="E11">
        <v>0.113</v>
      </c>
      <c r="G11" s="1"/>
      <c r="K11" s="1"/>
      <c r="L11" s="1"/>
    </row>
    <row r="12" spans="1:12" x14ac:dyDescent="0.25">
      <c r="A12" t="s">
        <v>48</v>
      </c>
      <c r="B12">
        <v>2.4860000000000002</v>
      </c>
      <c r="C12">
        <v>0.751</v>
      </c>
      <c r="E12">
        <v>0.18099999999999999</v>
      </c>
      <c r="G12" s="1"/>
      <c r="H12" s="53"/>
      <c r="K12" s="1"/>
      <c r="L12" s="1"/>
    </row>
    <row r="13" spans="1:12" x14ac:dyDescent="0.25">
      <c r="A13" t="s">
        <v>50</v>
      </c>
      <c r="B13">
        <v>100</v>
      </c>
      <c r="C13">
        <v>100</v>
      </c>
      <c r="E13">
        <v>100</v>
      </c>
      <c r="G13" s="1"/>
      <c r="H13" s="53"/>
      <c r="K13" s="1"/>
      <c r="L13" s="1"/>
    </row>
    <row r="14" spans="1:12" x14ac:dyDescent="0.25">
      <c r="A14" t="s">
        <v>51</v>
      </c>
      <c r="B14">
        <v>50</v>
      </c>
      <c r="C14">
        <v>50</v>
      </c>
      <c r="E14">
        <v>50</v>
      </c>
      <c r="G14" s="1"/>
      <c r="K14" s="1"/>
      <c r="L14" s="1"/>
    </row>
    <row r="15" spans="1:12" x14ac:dyDescent="0.25">
      <c r="A15" t="s">
        <v>54</v>
      </c>
      <c r="B15" s="53">
        <v>76</v>
      </c>
      <c r="C15" s="53">
        <v>76</v>
      </c>
      <c r="E15" s="53">
        <v>63</v>
      </c>
      <c r="G15" s="59"/>
      <c r="K15" s="1"/>
      <c r="L15" s="1"/>
    </row>
    <row r="16" spans="1:12" ht="16.5" x14ac:dyDescent="0.25">
      <c r="A16" s="56" t="s">
        <v>56</v>
      </c>
      <c r="B16" s="56">
        <f>B11-(B11-B12)/(B13-B14)*(B15-B14)</f>
        <v>2.2148000000000003</v>
      </c>
      <c r="C16" s="56">
        <f>C11-(C11-C12)/(C13-C14)*(C15-C14)</f>
        <v>0.64683999999999997</v>
      </c>
      <c r="D16" s="21">
        <f>THIETBI!I14*2/100</f>
        <v>1513451.6727272726</v>
      </c>
      <c r="E16" s="56">
        <f>E11-(E11-E12)/(E13-E14)*(E15-E14)</f>
        <v>0.13067999999999999</v>
      </c>
      <c r="G16" s="83">
        <v>0.432</v>
      </c>
      <c r="K16" s="1"/>
      <c r="L16" s="1"/>
    </row>
    <row r="17" spans="1:12" x14ac:dyDescent="0.25">
      <c r="K17" s="1"/>
      <c r="L17" s="1"/>
    </row>
    <row r="18" spans="1:12" x14ac:dyDescent="0.25">
      <c r="K18" s="1"/>
      <c r="L18" s="1"/>
    </row>
    <row r="19" spans="1:12" ht="18.75" x14ac:dyDescent="0.3">
      <c r="A19" s="1" t="s">
        <v>66</v>
      </c>
      <c r="C19" s="50" t="s">
        <v>67</v>
      </c>
      <c r="D19" s="84" t="s">
        <v>68</v>
      </c>
      <c r="E19" s="1"/>
      <c r="G19" s="21">
        <f>'[1]TONGCP(CONGTHUC)'!E12</f>
        <v>427681074656</v>
      </c>
      <c r="K19" s="1"/>
      <c r="L19" s="1"/>
    </row>
    <row r="20" spans="1:12" x14ac:dyDescent="0.25">
      <c r="A20" s="1"/>
      <c r="C20">
        <v>0.39400000000000002</v>
      </c>
      <c r="D20" s="1">
        <v>2.9000000000000001E-2</v>
      </c>
      <c r="E20" s="1"/>
      <c r="G20" s="21">
        <f>G19*10%</f>
        <v>42768107465.600006</v>
      </c>
      <c r="K20" s="1"/>
      <c r="L20" s="1"/>
    </row>
    <row r="21" spans="1:12" x14ac:dyDescent="0.25">
      <c r="A21" s="1"/>
      <c r="C21">
        <v>0.59599999999999997</v>
      </c>
      <c r="D21" s="1">
        <v>2.8000000000000001E-2</v>
      </c>
      <c r="E21" s="1"/>
      <c r="G21" s="18">
        <f>G19-G20</f>
        <v>384912967190.40002</v>
      </c>
      <c r="K21" s="1"/>
      <c r="L21" s="1"/>
    </row>
    <row r="22" spans="1:12" x14ac:dyDescent="0.25">
      <c r="A22" s="1"/>
      <c r="C22">
        <v>100</v>
      </c>
      <c r="D22" s="1">
        <v>2000</v>
      </c>
      <c r="E22" s="1"/>
      <c r="K22" s="1"/>
      <c r="L22" s="1"/>
    </row>
    <row r="23" spans="1:12" x14ac:dyDescent="0.25">
      <c r="A23" s="1"/>
      <c r="C23">
        <v>50</v>
      </c>
      <c r="D23" s="1">
        <v>1000</v>
      </c>
      <c r="E23" s="1"/>
      <c r="G23" s="21">
        <f>'[1]TONGCP(CONGTHUC)'!E11</f>
        <v>808000000000</v>
      </c>
      <c r="K23" s="1"/>
      <c r="L23" s="1"/>
    </row>
    <row r="24" spans="1:12" x14ac:dyDescent="0.25">
      <c r="A24" s="59"/>
      <c r="C24" s="53">
        <v>63</v>
      </c>
      <c r="D24" s="59">
        <v>727</v>
      </c>
      <c r="E24" s="1"/>
      <c r="G24" s="18">
        <f>G23*10%</f>
        <v>80800000000</v>
      </c>
      <c r="K24" s="1"/>
      <c r="L24" s="1"/>
    </row>
    <row r="25" spans="1:12" ht="16.5" x14ac:dyDescent="0.25">
      <c r="A25" s="83">
        <v>3.2850000000000001</v>
      </c>
      <c r="C25" s="56">
        <f>C20-(C20-C21)/(C22-C23)*(C24-C23)</f>
        <v>0.44652000000000003</v>
      </c>
      <c r="D25" s="83">
        <f>D20-(D20-D21)/(D22-D23)*(D24-D23)</f>
        <v>2.9273E-2</v>
      </c>
      <c r="E25" s="1"/>
      <c r="G25" s="18">
        <f>G23-G24</f>
        <v>727200000000</v>
      </c>
      <c r="K25" s="1"/>
      <c r="L25" s="1"/>
    </row>
    <row r="26" spans="1:12" x14ac:dyDescent="0.25">
      <c r="K26" s="1"/>
      <c r="L26" s="1"/>
    </row>
    <row r="27" spans="1:12" x14ac:dyDescent="0.25">
      <c r="D27" s="50" t="s">
        <v>95</v>
      </c>
      <c r="K27" s="1"/>
      <c r="L27" s="1"/>
    </row>
    <row r="28" spans="1:12" x14ac:dyDescent="0.25">
      <c r="C28" s="50" t="s">
        <v>69</v>
      </c>
      <c r="D28" s="50" t="s">
        <v>79</v>
      </c>
      <c r="G28" s="50" t="s">
        <v>97</v>
      </c>
      <c r="K28" s="1"/>
      <c r="L28" s="1"/>
    </row>
    <row r="29" spans="1:12" x14ac:dyDescent="0.25">
      <c r="C29">
        <v>1.2500000000000001E-2</v>
      </c>
      <c r="D29">
        <v>0.375</v>
      </c>
      <c r="G29" s="85">
        <v>0.32500000000000001</v>
      </c>
      <c r="K29" s="1"/>
      <c r="L29" s="1"/>
    </row>
    <row r="30" spans="1:12" x14ac:dyDescent="0.25">
      <c r="C30">
        <v>1.4999999999999999E-2</v>
      </c>
      <c r="D30">
        <v>0.47499999999999998</v>
      </c>
      <c r="G30">
        <v>0.57499999999999996</v>
      </c>
      <c r="K30" s="1"/>
      <c r="L30" s="1"/>
    </row>
    <row r="31" spans="1:12" x14ac:dyDescent="0.25">
      <c r="C31">
        <v>100</v>
      </c>
      <c r="D31">
        <v>100</v>
      </c>
      <c r="G31">
        <v>500</v>
      </c>
      <c r="K31" s="1"/>
      <c r="L31" s="1"/>
    </row>
    <row r="32" spans="1:12" x14ac:dyDescent="0.25">
      <c r="C32">
        <v>50</v>
      </c>
      <c r="D32">
        <v>50</v>
      </c>
      <c r="G32">
        <v>100</v>
      </c>
      <c r="K32" s="1"/>
      <c r="L32" s="1"/>
    </row>
    <row r="33" spans="3:12" x14ac:dyDescent="0.25">
      <c r="C33" s="53">
        <v>76</v>
      </c>
      <c r="D33" s="53">
        <v>76</v>
      </c>
      <c r="G33" s="53">
        <v>122</v>
      </c>
      <c r="K33" s="1"/>
      <c r="L33" s="1"/>
    </row>
    <row r="34" spans="3:12" ht="16.5" x14ac:dyDescent="0.25">
      <c r="C34" s="56">
        <f>C29-(C29-C30)/(C31-C32)*(C33-C32)</f>
        <v>1.38E-2</v>
      </c>
      <c r="D34" s="56">
        <f>D29-(D29-D30)/(D31-D32)*(D33-D32)</f>
        <v>0.42699999999999999</v>
      </c>
      <c r="G34" s="56">
        <f>G29-(G29-G30)/(G31-G32)*(G33-G32)</f>
        <v>0.33875</v>
      </c>
      <c r="K34" s="1"/>
      <c r="L34" s="1"/>
    </row>
    <row r="35" spans="3:12" x14ac:dyDescent="0.25">
      <c r="K35" s="1"/>
      <c r="L35" s="1"/>
    </row>
    <row r="36" spans="3:12" x14ac:dyDescent="0.25">
      <c r="K36" s="1"/>
      <c r="L36" s="1"/>
    </row>
    <row r="37" spans="3:12" x14ac:dyDescent="0.25">
      <c r="K37" s="1"/>
      <c r="L37" s="1"/>
    </row>
    <row r="38" spans="3:12" x14ac:dyDescent="0.25">
      <c r="K38" s="1"/>
      <c r="L38" s="1"/>
    </row>
    <row r="39" spans="3:12" x14ac:dyDescent="0.25">
      <c r="K39" s="1"/>
      <c r="L39" s="1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A4" workbookViewId="0">
      <selection activeCell="D13" sqref="D13"/>
    </sheetView>
  </sheetViews>
  <sheetFormatPr defaultRowHeight="15" x14ac:dyDescent="0.25"/>
  <cols>
    <col min="1" max="1" width="41.28515625" customWidth="1"/>
    <col min="2" max="2" width="36.140625" customWidth="1"/>
    <col min="3" max="3" width="28" customWidth="1"/>
    <col min="4" max="4" width="36.42578125" customWidth="1"/>
  </cols>
  <sheetData>
    <row r="1" spans="1:5" ht="16.5" x14ac:dyDescent="0.25">
      <c r="A1" s="63" t="s">
        <v>70</v>
      </c>
      <c r="B1" s="64"/>
      <c r="C1" s="65" t="s">
        <v>71</v>
      </c>
      <c r="D1" s="66">
        <f>THIETBI!I14*CÔNGTHUC!B16/100</f>
        <v>1675996.3823781819</v>
      </c>
      <c r="E1" s="79">
        <v>79</v>
      </c>
    </row>
    <row r="2" spans="1:5" ht="16.5" x14ac:dyDescent="0.25">
      <c r="A2" s="63" t="s">
        <v>72</v>
      </c>
      <c r="B2" s="64" t="s">
        <v>73</v>
      </c>
      <c r="C2" s="65" t="s">
        <v>71</v>
      </c>
      <c r="D2" s="67">
        <f>THIETBI!I14*CÔNGTHUC!C16/100</f>
        <v>489480.53999345447</v>
      </c>
      <c r="E2" s="79">
        <v>79</v>
      </c>
    </row>
    <row r="3" spans="1:5" ht="16.5" x14ac:dyDescent="0.25">
      <c r="A3" s="63" t="s">
        <v>63</v>
      </c>
      <c r="B3" s="68" t="s">
        <v>74</v>
      </c>
      <c r="C3" s="68"/>
      <c r="D3" s="66">
        <f>THIETBI!H8*2/100</f>
        <v>1253196.8400000001</v>
      </c>
      <c r="E3" s="80">
        <v>0.02</v>
      </c>
    </row>
    <row r="4" spans="1:5" ht="16.5" x14ac:dyDescent="0.25">
      <c r="A4" s="63" t="s">
        <v>75</v>
      </c>
      <c r="B4" s="68"/>
      <c r="C4" s="68"/>
      <c r="D4" s="66">
        <f>THIETBI!H8*CÔNGTHUC!E16/100</f>
        <v>81883.881525599994</v>
      </c>
      <c r="E4" s="79">
        <v>79</v>
      </c>
    </row>
    <row r="5" spans="1:5" ht="16.5" x14ac:dyDescent="0.25">
      <c r="A5" s="63" t="s">
        <v>76</v>
      </c>
      <c r="B5" s="68"/>
      <c r="C5" s="68"/>
      <c r="D5" s="66">
        <f>THIETBI!G9*CÔNGTHUC!G16/100</f>
        <v>42336</v>
      </c>
      <c r="E5" s="79" t="s">
        <v>87</v>
      </c>
    </row>
    <row r="6" spans="1:5" ht="16.5" x14ac:dyDescent="0.25">
      <c r="A6" s="63" t="s">
        <v>77</v>
      </c>
      <c r="B6" s="68"/>
      <c r="C6" s="68"/>
      <c r="D6" s="66">
        <v>50000</v>
      </c>
      <c r="E6" s="79">
        <v>79</v>
      </c>
    </row>
    <row r="7" spans="1:5" ht="16.5" x14ac:dyDescent="0.25">
      <c r="A7" s="63" t="s">
        <v>93</v>
      </c>
      <c r="B7" s="68"/>
      <c r="C7" s="68"/>
      <c r="D7" s="69">
        <f>THIETBI!I8*CÔNGTHUC!C25/100</f>
        <v>254353.38772581815</v>
      </c>
      <c r="E7" s="79"/>
    </row>
    <row r="8" spans="1:5" ht="16.5" x14ac:dyDescent="0.25">
      <c r="A8" s="63" t="s">
        <v>94</v>
      </c>
      <c r="B8" s="68" t="s">
        <v>78</v>
      </c>
      <c r="C8" s="68"/>
      <c r="D8" s="66">
        <f>THIETBI!G9*0.25/100</f>
        <v>24500</v>
      </c>
      <c r="E8" s="81" t="s">
        <v>88</v>
      </c>
    </row>
    <row r="9" spans="1:5" ht="16.5" x14ac:dyDescent="0.25">
      <c r="A9" s="63" t="s">
        <v>69</v>
      </c>
      <c r="B9" s="68"/>
      <c r="C9" s="68"/>
      <c r="D9" s="66">
        <f>THIETBI!I14*CÔNGTHUC!C34/100</f>
        <v>10442.81654181818</v>
      </c>
      <c r="E9" s="81" t="s">
        <v>96</v>
      </c>
    </row>
    <row r="10" spans="1:5" ht="16.5" x14ac:dyDescent="0.25">
      <c r="A10" s="63" t="s">
        <v>79</v>
      </c>
      <c r="B10" s="68" t="s">
        <v>80</v>
      </c>
      <c r="C10" s="68"/>
      <c r="D10" s="69">
        <f>THIETBI!I14*CÔNGTHUC!D34/100</f>
        <v>323121.93212727265</v>
      </c>
      <c r="E10" s="81" t="s">
        <v>89</v>
      </c>
    </row>
    <row r="11" spans="1:5" ht="16.5" x14ac:dyDescent="0.25">
      <c r="A11" s="71" t="s">
        <v>81</v>
      </c>
      <c r="B11" s="72"/>
      <c r="C11" s="72"/>
      <c r="D11" s="70"/>
      <c r="E11" s="81" t="s">
        <v>90</v>
      </c>
    </row>
    <row r="12" spans="1:5" ht="16.5" x14ac:dyDescent="0.25">
      <c r="A12" s="63" t="s">
        <v>82</v>
      </c>
      <c r="B12" s="68"/>
      <c r="C12" s="73" t="s">
        <v>83</v>
      </c>
      <c r="D12" s="66">
        <f>THIETBI!I14*10%</f>
        <v>7567258.3636363633</v>
      </c>
      <c r="E12" s="79" t="s">
        <v>91</v>
      </c>
    </row>
    <row r="13" spans="1:5" ht="16.5" x14ac:dyDescent="0.25">
      <c r="A13" s="63" t="s">
        <v>84</v>
      </c>
      <c r="B13" s="68"/>
      <c r="C13" s="73" t="s">
        <v>85</v>
      </c>
      <c r="D13" s="66">
        <v>3368425</v>
      </c>
      <c r="E13" s="79"/>
    </row>
    <row r="14" spans="1:5" ht="16.5" x14ac:dyDescent="0.25">
      <c r="A14" s="71" t="s">
        <v>100</v>
      </c>
      <c r="B14" s="70"/>
      <c r="C14" s="72"/>
      <c r="D14" s="70">
        <f>SUM(D1:D13)</f>
        <v>15140995.143928507</v>
      </c>
      <c r="E14" s="81"/>
    </row>
    <row r="16" spans="1:5" ht="18.75" x14ac:dyDescent="0.3">
      <c r="D16" s="74">
        <v>15140995</v>
      </c>
    </row>
    <row r="17" spans="4:4" x14ac:dyDescent="0.25">
      <c r="D17" s="18">
        <f>D14-D16</f>
        <v>0.14392850734293461</v>
      </c>
    </row>
    <row r="19" spans="4:4" x14ac:dyDescent="0.25">
      <c r="D19" s="18">
        <f>D13-D17</f>
        <v>3368424.8560714927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topLeftCell="A13" workbookViewId="0">
      <selection activeCell="F20" sqref="F20"/>
    </sheetView>
  </sheetViews>
  <sheetFormatPr defaultRowHeight="15" x14ac:dyDescent="0.25"/>
  <cols>
    <col min="1" max="1" width="6.7109375" customWidth="1"/>
    <col min="2" max="2" width="51.28515625" customWidth="1"/>
    <col min="3" max="3" width="25.85546875" customWidth="1"/>
  </cols>
  <sheetData>
    <row r="1" spans="1:3" ht="22.5" customHeight="1" x14ac:dyDescent="0.3">
      <c r="C1" s="217" t="s">
        <v>197</v>
      </c>
    </row>
    <row r="2" spans="1:3" ht="30" customHeight="1" x14ac:dyDescent="0.25">
      <c r="A2" s="40" t="s">
        <v>7</v>
      </c>
      <c r="B2" s="47" t="s">
        <v>141</v>
      </c>
      <c r="C2" s="37" t="s">
        <v>196</v>
      </c>
    </row>
    <row r="3" spans="1:3" ht="27.75" customHeight="1" x14ac:dyDescent="0.25">
      <c r="A3" s="209">
        <v>1</v>
      </c>
      <c r="B3" s="210" t="s">
        <v>142</v>
      </c>
      <c r="C3" s="90">
        <f>GIATRIDAUTU!C18</f>
        <v>1300000</v>
      </c>
    </row>
    <row r="4" spans="1:3" ht="27.75" customHeight="1" x14ac:dyDescent="0.25">
      <c r="A4" s="209">
        <v>2</v>
      </c>
      <c r="B4" s="210" t="s">
        <v>143</v>
      </c>
      <c r="C4" s="90">
        <f>GIATRIDAUTU!C21</f>
        <v>267374648</v>
      </c>
    </row>
    <row r="5" spans="1:3" ht="39" customHeight="1" x14ac:dyDescent="0.25">
      <c r="A5" s="209">
        <v>3</v>
      </c>
      <c r="B5" s="27" t="s">
        <v>144</v>
      </c>
      <c r="C5" s="90">
        <f>GIATRIDAUTU!C22</f>
        <v>15800000</v>
      </c>
    </row>
    <row r="6" spans="1:3" ht="30" customHeight="1" x14ac:dyDescent="0.25">
      <c r="A6" s="209">
        <v>4</v>
      </c>
      <c r="B6" s="27" t="s">
        <v>145</v>
      </c>
      <c r="C6" s="90">
        <f>GIATRIDAUTU!C23</f>
        <v>3000000</v>
      </c>
    </row>
    <row r="7" spans="1:3" ht="39" customHeight="1" x14ac:dyDescent="0.25">
      <c r="A7" s="209">
        <v>5</v>
      </c>
      <c r="B7" s="27" t="s">
        <v>146</v>
      </c>
      <c r="C7" s="90">
        <f>GIATRIDAUTU!C24</f>
        <v>1500000</v>
      </c>
    </row>
    <row r="8" spans="1:3" ht="28.5" customHeight="1" x14ac:dyDescent="0.25">
      <c r="A8" s="209">
        <v>6</v>
      </c>
      <c r="B8" s="38" t="s">
        <v>147</v>
      </c>
      <c r="C8" s="218">
        <f>GIATRIDAUTU!C25</f>
        <v>4000000</v>
      </c>
    </row>
    <row r="9" spans="1:3" ht="28.5" customHeight="1" x14ac:dyDescent="0.25">
      <c r="A9" s="209">
        <v>7</v>
      </c>
      <c r="B9" s="87" t="s">
        <v>70</v>
      </c>
      <c r="C9" s="90">
        <f>Sheet6!D1</f>
        <v>1675996.3823781819</v>
      </c>
    </row>
    <row r="10" spans="1:3" ht="28.5" customHeight="1" x14ac:dyDescent="0.25">
      <c r="A10" s="209">
        <v>8</v>
      </c>
      <c r="B10" s="87" t="s">
        <v>72</v>
      </c>
      <c r="C10" s="90">
        <f>Sheet6!D2</f>
        <v>489480.53999345447</v>
      </c>
    </row>
    <row r="11" spans="1:3" ht="28.5" customHeight="1" x14ac:dyDescent="0.25">
      <c r="A11" s="209">
        <v>9</v>
      </c>
      <c r="B11" s="87" t="s">
        <v>63</v>
      </c>
      <c r="C11" s="90">
        <f>Sheet6!D3</f>
        <v>1253196.8400000001</v>
      </c>
    </row>
    <row r="12" spans="1:3" ht="39" customHeight="1" x14ac:dyDescent="0.25">
      <c r="A12" s="209">
        <v>10</v>
      </c>
      <c r="B12" s="87" t="s">
        <v>75</v>
      </c>
      <c r="C12" s="90">
        <f>Sheet6!D4</f>
        <v>81883.881525599994</v>
      </c>
    </row>
    <row r="13" spans="1:3" ht="39" customHeight="1" x14ac:dyDescent="0.25">
      <c r="A13" s="209">
        <v>11</v>
      </c>
      <c r="B13" s="87" t="s">
        <v>76</v>
      </c>
      <c r="C13" s="90">
        <f>Sheet6!D5</f>
        <v>42336</v>
      </c>
    </row>
    <row r="14" spans="1:3" ht="39" customHeight="1" x14ac:dyDescent="0.25">
      <c r="A14" s="209">
        <v>12</v>
      </c>
      <c r="B14" s="87" t="s">
        <v>77</v>
      </c>
      <c r="C14" s="90">
        <f>Sheet6!D6</f>
        <v>50000</v>
      </c>
    </row>
    <row r="15" spans="1:3" ht="30.75" customHeight="1" x14ac:dyDescent="0.25">
      <c r="A15" s="209">
        <v>14</v>
      </c>
      <c r="B15" s="87" t="s">
        <v>148</v>
      </c>
      <c r="C15" s="90">
        <f>Sheet6!D7</f>
        <v>254353.38772581815</v>
      </c>
    </row>
    <row r="16" spans="1:3" ht="30.75" customHeight="1" x14ac:dyDescent="0.25">
      <c r="A16" s="209">
        <v>15</v>
      </c>
      <c r="B16" s="87" t="s">
        <v>94</v>
      </c>
      <c r="C16" s="90">
        <f>Sheet6!D8</f>
        <v>24500</v>
      </c>
    </row>
    <row r="17" spans="1:3" ht="30.75" customHeight="1" x14ac:dyDescent="0.25">
      <c r="A17" s="209">
        <v>16</v>
      </c>
      <c r="B17" s="87" t="s">
        <v>69</v>
      </c>
      <c r="C17" s="90">
        <f>Sheet6!D9</f>
        <v>10442.81654181818</v>
      </c>
    </row>
    <row r="18" spans="1:3" ht="30.75" customHeight="1" x14ac:dyDescent="0.25">
      <c r="A18" s="209">
        <v>17</v>
      </c>
      <c r="B18" s="87" t="s">
        <v>79</v>
      </c>
      <c r="C18" s="90">
        <f>Sheet6!D10</f>
        <v>323121.93212727265</v>
      </c>
    </row>
    <row r="19" spans="1:3" ht="30.75" customHeight="1" x14ac:dyDescent="0.25">
      <c r="A19" s="209">
        <v>18</v>
      </c>
      <c r="B19" s="87" t="s">
        <v>149</v>
      </c>
      <c r="C19" s="90">
        <f>Sheet6!D12</f>
        <v>7567258.3636363633</v>
      </c>
    </row>
    <row r="20" spans="1:3" ht="30.75" customHeight="1" x14ac:dyDescent="0.25">
      <c r="A20" s="209">
        <v>19</v>
      </c>
      <c r="B20" s="87" t="s">
        <v>150</v>
      </c>
      <c r="C20" s="90">
        <f>Sheet6!D13</f>
        <v>3368425</v>
      </c>
    </row>
    <row r="21" spans="1:3" ht="30.75" customHeight="1" x14ac:dyDescent="0.25">
      <c r="A21" s="209"/>
      <c r="B21" s="94" t="s">
        <v>151</v>
      </c>
      <c r="C21" s="219">
        <f>SUM(C3:C20)</f>
        <v>308115643.14392847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opLeftCell="A16" zoomScale="75" zoomScaleNormal="75" workbookViewId="0">
      <selection activeCell="L26" sqref="L26"/>
    </sheetView>
  </sheetViews>
  <sheetFormatPr defaultRowHeight="18.75" x14ac:dyDescent="0.3"/>
  <cols>
    <col min="1" max="1" width="5.85546875" customWidth="1"/>
    <col min="2" max="2" width="24.5703125" customWidth="1"/>
    <col min="3" max="3" width="16.42578125" style="111" customWidth="1"/>
    <col min="4" max="4" width="16.5703125" customWidth="1"/>
    <col min="5" max="5" width="17.7109375" bestFit="1" customWidth="1"/>
    <col min="6" max="6" width="16.5703125" customWidth="1"/>
    <col min="7" max="7" width="15.42578125" customWidth="1"/>
    <col min="8" max="8" width="17" customWidth="1"/>
    <col min="9" max="9" width="15.140625" customWidth="1"/>
    <col min="10" max="10" width="14.85546875" customWidth="1"/>
    <col min="11" max="11" width="4.7109375" customWidth="1"/>
    <col min="12" max="12" width="17.140625" customWidth="1"/>
    <col min="13" max="13" width="26.28515625" customWidth="1"/>
    <col min="14" max="15" width="22.140625" customWidth="1"/>
  </cols>
  <sheetData>
    <row r="1" spans="1:13" x14ac:dyDescent="0.25">
      <c r="A1" s="249" t="s">
        <v>24</v>
      </c>
      <c r="B1" s="251" t="s">
        <v>25</v>
      </c>
      <c r="C1" s="253" t="s">
        <v>112</v>
      </c>
      <c r="D1" s="254"/>
      <c r="E1" s="254"/>
      <c r="F1" s="255"/>
      <c r="G1" s="256" t="s">
        <v>113</v>
      </c>
      <c r="H1" s="257"/>
      <c r="I1" s="257"/>
      <c r="J1" s="258"/>
    </row>
    <row r="2" spans="1:13" ht="49.5" x14ac:dyDescent="0.25">
      <c r="A2" s="250"/>
      <c r="B2" s="252"/>
      <c r="C2" s="94" t="s">
        <v>118</v>
      </c>
      <c r="D2" s="220" t="s">
        <v>26</v>
      </c>
      <c r="E2" s="22" t="s">
        <v>27</v>
      </c>
      <c r="F2" s="220" t="s">
        <v>28</v>
      </c>
      <c r="G2" s="220" t="s">
        <v>114</v>
      </c>
      <c r="H2" s="220" t="s">
        <v>115</v>
      </c>
      <c r="I2" s="220" t="s">
        <v>116</v>
      </c>
      <c r="J2" s="220" t="s">
        <v>86</v>
      </c>
      <c r="L2" s="43" t="s">
        <v>198</v>
      </c>
    </row>
    <row r="3" spans="1:13" ht="37.5" x14ac:dyDescent="0.3">
      <c r="A3" s="124">
        <v>1</v>
      </c>
      <c r="B3" s="106" t="s">
        <v>117</v>
      </c>
      <c r="C3" s="116">
        <f>C4+C5</f>
        <v>1300000</v>
      </c>
      <c r="D3" s="86"/>
      <c r="E3" s="86"/>
      <c r="F3" s="24"/>
      <c r="G3" s="24"/>
      <c r="H3" s="49"/>
      <c r="I3" s="82">
        <f>C3</f>
        <v>1300000</v>
      </c>
      <c r="J3" s="48"/>
      <c r="L3" s="233">
        <f>C3</f>
        <v>1300000</v>
      </c>
    </row>
    <row r="4" spans="1:13" ht="48.75" customHeight="1" x14ac:dyDescent="0.3">
      <c r="A4" s="25" t="s">
        <v>33</v>
      </c>
      <c r="B4" s="127" t="s">
        <v>30</v>
      </c>
      <c r="C4" s="129">
        <f>D4+E4+F4</f>
        <v>1000000</v>
      </c>
      <c r="D4" s="120">
        <v>500000</v>
      </c>
      <c r="E4" s="120">
        <v>500000</v>
      </c>
      <c r="F4" s="130"/>
      <c r="G4" s="30"/>
      <c r="H4" s="49"/>
      <c r="I4" s="48"/>
      <c r="J4" s="48"/>
      <c r="L4" s="49"/>
    </row>
    <row r="5" spans="1:13" ht="60" customHeight="1" x14ac:dyDescent="0.3">
      <c r="A5" s="23" t="s">
        <v>34</v>
      </c>
      <c r="B5" s="128" t="s">
        <v>32</v>
      </c>
      <c r="C5" s="129">
        <f>D5+E5+F5</f>
        <v>300000</v>
      </c>
      <c r="D5" s="120">
        <v>100000</v>
      </c>
      <c r="E5" s="120">
        <v>100000</v>
      </c>
      <c r="F5" s="120">
        <v>100000</v>
      </c>
      <c r="G5" s="30"/>
      <c r="H5" s="49"/>
      <c r="I5" s="48"/>
      <c r="J5" s="48"/>
      <c r="L5" s="49"/>
    </row>
    <row r="6" spans="1:13" ht="44.25" customHeight="1" x14ac:dyDescent="0.25">
      <c r="A6" s="124">
        <v>2</v>
      </c>
      <c r="B6" s="106" t="s">
        <v>35</v>
      </c>
      <c r="C6" s="112">
        <f>D6+E6+F6</f>
        <v>267374648</v>
      </c>
      <c r="D6" s="51">
        <v>8015172</v>
      </c>
      <c r="E6" s="138">
        <v>240630476</v>
      </c>
      <c r="F6" s="30">
        <v>18729000</v>
      </c>
      <c r="G6" s="30">
        <f>C6-(H6+J6)</f>
        <v>62659842</v>
      </c>
      <c r="H6" s="121">
        <v>199674806</v>
      </c>
      <c r="I6" s="122"/>
      <c r="J6" s="121">
        <v>5040000</v>
      </c>
      <c r="L6" s="233">
        <f>C6-(H6+J6)</f>
        <v>62659842</v>
      </c>
      <c r="M6" s="18"/>
    </row>
    <row r="7" spans="1:13" ht="37.5" x14ac:dyDescent="0.25">
      <c r="A7" s="123">
        <v>3</v>
      </c>
      <c r="B7" s="113" t="s">
        <v>38</v>
      </c>
      <c r="C7" s="112">
        <f t="shared" ref="C7:C10" si="0">D7+E7+F7</f>
        <v>15800000</v>
      </c>
      <c r="D7" s="75">
        <v>8800000</v>
      </c>
      <c r="E7" s="221">
        <v>3000000</v>
      </c>
      <c r="F7" s="30">
        <v>4000000</v>
      </c>
      <c r="G7" s="30"/>
      <c r="H7" s="43"/>
      <c r="I7" s="121">
        <v>9800000</v>
      </c>
      <c r="J7" s="121">
        <v>6000000</v>
      </c>
      <c r="L7" s="233">
        <f>C7-J7</f>
        <v>9800000</v>
      </c>
    </row>
    <row r="8" spans="1:13" ht="66" customHeight="1" x14ac:dyDescent="0.3">
      <c r="A8" s="124">
        <v>4</v>
      </c>
      <c r="B8" s="114" t="s">
        <v>36</v>
      </c>
      <c r="C8" s="112">
        <f t="shared" si="0"/>
        <v>3000000</v>
      </c>
      <c r="D8" s="76">
        <v>3000000</v>
      </c>
      <c r="E8" s="36"/>
      <c r="F8" s="35"/>
      <c r="G8" s="30"/>
      <c r="H8" s="49"/>
      <c r="I8" s="48"/>
      <c r="J8" s="76">
        <v>3000000</v>
      </c>
      <c r="L8" s="49"/>
    </row>
    <row r="9" spans="1:13" ht="63.75" customHeight="1" x14ac:dyDescent="0.3">
      <c r="A9" s="123">
        <v>5</v>
      </c>
      <c r="B9" s="114" t="s">
        <v>37</v>
      </c>
      <c r="C9" s="112">
        <f t="shared" si="0"/>
        <v>1500000</v>
      </c>
      <c r="D9" s="39">
        <v>1500000</v>
      </c>
      <c r="E9" s="11"/>
      <c r="F9" s="11"/>
      <c r="G9" s="30"/>
      <c r="H9" s="49"/>
      <c r="I9" s="48"/>
      <c r="J9" s="39">
        <v>1500000</v>
      </c>
      <c r="L9" s="234"/>
      <c r="M9" s="18"/>
    </row>
    <row r="10" spans="1:13" ht="51.75" customHeight="1" x14ac:dyDescent="0.3">
      <c r="A10" s="222">
        <v>6</v>
      </c>
      <c r="B10" s="126" t="s">
        <v>39</v>
      </c>
      <c r="C10" s="223">
        <f t="shared" si="0"/>
        <v>4000000</v>
      </c>
      <c r="D10" s="224">
        <v>1000000</v>
      </c>
      <c r="E10" s="224">
        <v>1000000</v>
      </c>
      <c r="F10" s="224">
        <v>2000000</v>
      </c>
      <c r="G10" s="225"/>
      <c r="H10" s="226"/>
      <c r="I10" s="227">
        <f>C10</f>
        <v>4000000</v>
      </c>
      <c r="J10" s="228"/>
      <c r="L10" s="233">
        <f>I10</f>
        <v>4000000</v>
      </c>
      <c r="M10" s="18"/>
    </row>
    <row r="11" spans="1:13" ht="30" customHeight="1" x14ac:dyDescent="0.3">
      <c r="A11" s="49"/>
      <c r="B11" s="49"/>
      <c r="C11" s="229">
        <f>C3+C6+C7+C8+C9+C10</f>
        <v>292974648</v>
      </c>
      <c r="D11" s="229">
        <f t="shared" ref="D11:F11" si="1">SUM(D3:D10)</f>
        <v>22915172</v>
      </c>
      <c r="E11" s="229">
        <f t="shared" si="1"/>
        <v>245230476</v>
      </c>
      <c r="F11" s="229">
        <f t="shared" si="1"/>
        <v>24829000</v>
      </c>
      <c r="G11" s="229">
        <f t="shared" ref="G11" si="2">SUM(G3:G10)</f>
        <v>62659842</v>
      </c>
      <c r="H11" s="229">
        <f t="shared" ref="H11" si="3">SUM(H3:H10)</f>
        <v>199674806</v>
      </c>
      <c r="I11" s="229">
        <f t="shared" ref="I11" si="4">SUM(I3:I10)</f>
        <v>15100000</v>
      </c>
      <c r="J11" s="229">
        <f t="shared" ref="J11" si="5">SUM(J3:J10)</f>
        <v>15540000</v>
      </c>
      <c r="L11" s="235">
        <f>SUM(L3:L10)</f>
        <v>77759842</v>
      </c>
      <c r="M11" s="230">
        <v>15140995</v>
      </c>
    </row>
    <row r="12" spans="1:13" ht="24" customHeight="1" x14ac:dyDescent="0.3">
      <c r="D12" s="18"/>
      <c r="L12" s="21">
        <f>D11-(J6+J7+J8+J9)</f>
        <v>7375172</v>
      </c>
      <c r="M12" s="18">
        <f>(L12*M11)/L11</f>
        <v>1436055.4176041151</v>
      </c>
    </row>
    <row r="13" spans="1:13" x14ac:dyDescent="0.3">
      <c r="L13" s="18">
        <f>L11</f>
        <v>77759842</v>
      </c>
      <c r="M13" s="18">
        <v>15140995</v>
      </c>
    </row>
    <row r="14" spans="1:13" ht="39" customHeight="1" x14ac:dyDescent="0.35">
      <c r="A14" s="248" t="s">
        <v>124</v>
      </c>
      <c r="B14" s="248"/>
      <c r="C14" s="248"/>
      <c r="D14" s="248"/>
      <c r="E14" s="248"/>
      <c r="F14" s="248"/>
      <c r="G14" s="248"/>
      <c r="H14" s="248"/>
      <c r="I14" s="248"/>
      <c r="J14" s="248"/>
      <c r="L14" s="18">
        <f>E11-H6</f>
        <v>45555670</v>
      </c>
      <c r="M14" s="18">
        <f>(L14*M13)/L13</f>
        <v>8870364.8818068579</v>
      </c>
    </row>
    <row r="15" spans="1:13" ht="23.25" customHeight="1" x14ac:dyDescent="0.3">
      <c r="A15" s="134"/>
      <c r="B15" s="134"/>
      <c r="C15" s="135"/>
      <c r="D15" s="135"/>
      <c r="E15" s="135"/>
      <c r="F15" s="135"/>
      <c r="G15" s="93"/>
      <c r="H15" s="133"/>
      <c r="I15" s="259" t="s">
        <v>40</v>
      </c>
      <c r="J15" s="259"/>
    </row>
    <row r="16" spans="1:13" ht="28.5" customHeight="1" x14ac:dyDescent="0.25">
      <c r="A16" s="249" t="s">
        <v>24</v>
      </c>
      <c r="B16" s="251" t="s">
        <v>25</v>
      </c>
      <c r="C16" s="253" t="s">
        <v>112</v>
      </c>
      <c r="D16" s="254"/>
      <c r="E16" s="254"/>
      <c r="F16" s="255"/>
      <c r="G16" s="256" t="s">
        <v>113</v>
      </c>
      <c r="H16" s="257"/>
      <c r="I16" s="257"/>
      <c r="J16" s="258"/>
      <c r="L16" s="18">
        <f>L13</f>
        <v>77759842</v>
      </c>
      <c r="M16" s="18">
        <f>M13</f>
        <v>15140995</v>
      </c>
    </row>
    <row r="17" spans="1:15" ht="36" customHeight="1" x14ac:dyDescent="0.25">
      <c r="A17" s="250"/>
      <c r="B17" s="252"/>
      <c r="C17" s="94" t="s">
        <v>118</v>
      </c>
      <c r="D17" s="26" t="s">
        <v>26</v>
      </c>
      <c r="E17" s="22" t="s">
        <v>27</v>
      </c>
      <c r="F17" s="26" t="s">
        <v>28</v>
      </c>
      <c r="G17" s="26" t="s">
        <v>114</v>
      </c>
      <c r="H17" s="26" t="s">
        <v>115</v>
      </c>
      <c r="I17" s="26" t="s">
        <v>116</v>
      </c>
      <c r="J17" s="26" t="s">
        <v>86</v>
      </c>
      <c r="L17" s="18">
        <f>F11</f>
        <v>24829000</v>
      </c>
      <c r="M17" s="18">
        <f>(L17*M16)/L16</f>
        <v>4834574.7005890263</v>
      </c>
    </row>
    <row r="18" spans="1:15" ht="39" customHeight="1" x14ac:dyDescent="0.3">
      <c r="A18" s="124">
        <v>1</v>
      </c>
      <c r="B18" s="106" t="s">
        <v>117</v>
      </c>
      <c r="C18" s="116">
        <f>C19+C20</f>
        <v>1300000</v>
      </c>
      <c r="D18" s="86"/>
      <c r="E18" s="86"/>
      <c r="F18" s="24"/>
      <c r="G18" s="24"/>
      <c r="H18" s="49"/>
      <c r="I18" s="82">
        <f>C18</f>
        <v>1300000</v>
      </c>
      <c r="J18" s="48"/>
      <c r="L18" s="18">
        <f>L12+L14+L17</f>
        <v>77759842</v>
      </c>
      <c r="M18" s="18"/>
    </row>
    <row r="19" spans="1:15" ht="35.25" customHeight="1" x14ac:dyDescent="0.3">
      <c r="A19" s="25" t="s">
        <v>33</v>
      </c>
      <c r="B19" s="127" t="s">
        <v>30</v>
      </c>
      <c r="C19" s="129">
        <f>D19+E19+F19</f>
        <v>1000000</v>
      </c>
      <c r="D19" s="120">
        <v>500000</v>
      </c>
      <c r="E19" s="120">
        <v>500000</v>
      </c>
      <c r="F19" s="130"/>
      <c r="G19" s="30"/>
      <c r="H19" s="49"/>
      <c r="I19" s="48"/>
      <c r="J19" s="48"/>
    </row>
    <row r="20" spans="1:15" ht="38.25" customHeight="1" x14ac:dyDescent="0.3">
      <c r="A20" s="23" t="s">
        <v>34</v>
      </c>
      <c r="B20" s="128" t="s">
        <v>32</v>
      </c>
      <c r="C20" s="129">
        <f>D20+E20+F20</f>
        <v>300000</v>
      </c>
      <c r="D20" s="120">
        <v>100000</v>
      </c>
      <c r="E20" s="120">
        <v>100000</v>
      </c>
      <c r="F20" s="120">
        <v>100000</v>
      </c>
      <c r="G20" s="30"/>
      <c r="H20" s="49"/>
      <c r="I20" s="48"/>
      <c r="J20" s="48"/>
    </row>
    <row r="21" spans="1:15" s="33" customFormat="1" ht="35.25" customHeight="1" x14ac:dyDescent="0.25">
      <c r="A21" s="124">
        <v>2</v>
      </c>
      <c r="B21" s="106" t="s">
        <v>35</v>
      </c>
      <c r="C21" s="112">
        <f>D21+E21+F21</f>
        <v>267374648</v>
      </c>
      <c r="D21" s="51">
        <v>8015172</v>
      </c>
      <c r="E21" s="138">
        <v>240630476</v>
      </c>
      <c r="F21" s="30">
        <v>18729000</v>
      </c>
      <c r="G21" s="30">
        <f>C21-(H21+J21)</f>
        <v>62659842</v>
      </c>
      <c r="H21" s="121">
        <v>199674806</v>
      </c>
      <c r="I21" s="122"/>
      <c r="J21" s="121">
        <v>5040000</v>
      </c>
      <c r="L21" s="51"/>
    </row>
    <row r="22" spans="1:15" ht="33.75" customHeight="1" x14ac:dyDescent="0.3">
      <c r="A22" s="123">
        <v>3</v>
      </c>
      <c r="B22" s="113" t="s">
        <v>38</v>
      </c>
      <c r="C22" s="112">
        <f t="shared" ref="C22:C26" si="6">D22+E22+F22</f>
        <v>15800000</v>
      </c>
      <c r="D22" s="75">
        <v>8800000</v>
      </c>
      <c r="E22" s="221">
        <v>3000000</v>
      </c>
      <c r="F22" s="30">
        <v>4000000</v>
      </c>
      <c r="G22" s="30"/>
      <c r="H22" s="43"/>
      <c r="I22" s="121">
        <v>9800000</v>
      </c>
      <c r="J22" s="121">
        <v>6000000</v>
      </c>
      <c r="L22" s="118"/>
    </row>
    <row r="23" spans="1:15" ht="41.25" customHeight="1" x14ac:dyDescent="0.3">
      <c r="A23" s="124">
        <v>4</v>
      </c>
      <c r="B23" s="114" t="s">
        <v>36</v>
      </c>
      <c r="C23" s="112">
        <f t="shared" si="6"/>
        <v>3000000</v>
      </c>
      <c r="D23" s="76">
        <v>3000000</v>
      </c>
      <c r="E23" s="36"/>
      <c r="F23" s="35"/>
      <c r="G23" s="30"/>
      <c r="H23" s="49"/>
      <c r="I23" s="48"/>
      <c r="J23" s="76">
        <v>3000000</v>
      </c>
      <c r="L23" s="74"/>
    </row>
    <row r="24" spans="1:15" ht="54" customHeight="1" x14ac:dyDescent="0.3">
      <c r="A24" s="123">
        <v>5</v>
      </c>
      <c r="B24" s="114" t="s">
        <v>37</v>
      </c>
      <c r="C24" s="112">
        <f t="shared" si="6"/>
        <v>1500000</v>
      </c>
      <c r="D24" s="39">
        <v>1500000</v>
      </c>
      <c r="E24" s="11"/>
      <c r="F24" s="11"/>
      <c r="G24" s="30"/>
      <c r="H24" s="49"/>
      <c r="I24" s="48"/>
      <c r="J24" s="39">
        <v>1500000</v>
      </c>
      <c r="L24" s="74"/>
    </row>
    <row r="25" spans="1:15" ht="39.75" customHeight="1" x14ac:dyDescent="0.3">
      <c r="A25" s="123">
        <v>6</v>
      </c>
      <c r="B25" s="126" t="s">
        <v>39</v>
      </c>
      <c r="C25" s="112">
        <f t="shared" si="6"/>
        <v>4000000</v>
      </c>
      <c r="D25" s="31">
        <v>1000000</v>
      </c>
      <c r="E25" s="31">
        <v>1000000</v>
      </c>
      <c r="F25" s="31">
        <v>2000000</v>
      </c>
      <c r="G25" s="30"/>
      <c r="H25" s="49"/>
      <c r="I25" s="232">
        <f>C25</f>
        <v>4000000</v>
      </c>
      <c r="J25" s="48"/>
      <c r="L25" s="74"/>
    </row>
    <row r="26" spans="1:15" ht="37.5" x14ac:dyDescent="0.3">
      <c r="A26" s="132">
        <v>7</v>
      </c>
      <c r="B26" s="40" t="s">
        <v>119</v>
      </c>
      <c r="C26" s="112">
        <f t="shared" si="6"/>
        <v>15140995</v>
      </c>
      <c r="D26" s="231">
        <f>M12</f>
        <v>1436055.4176041151</v>
      </c>
      <c r="E26" s="231">
        <f>M14</f>
        <v>8870364.8818068579</v>
      </c>
      <c r="F26" s="231">
        <f>M17</f>
        <v>4834574.7005890263</v>
      </c>
      <c r="G26" s="30"/>
      <c r="H26" s="49"/>
      <c r="I26" s="117">
        <f>C26</f>
        <v>15140995</v>
      </c>
      <c r="J26" s="48"/>
      <c r="L26" s="74"/>
    </row>
    <row r="27" spans="1:15" x14ac:dyDescent="0.3">
      <c r="A27" s="29"/>
      <c r="B27" s="32" t="s">
        <v>31</v>
      </c>
      <c r="C27" s="136">
        <f>C18+C21+C22+C23+C24+C25+C26</f>
        <v>308115643</v>
      </c>
      <c r="D27" s="131">
        <f t="shared" ref="D27:F27" si="7">D18+D21+D22+D23+D24+D25+D26</f>
        <v>23751227.417604115</v>
      </c>
      <c r="E27" s="131">
        <f t="shared" si="7"/>
        <v>253500840.88180685</v>
      </c>
      <c r="F27" s="131">
        <f t="shared" si="7"/>
        <v>29563574.700589027</v>
      </c>
      <c r="G27" s="28">
        <f>SUM(G18:G26)</f>
        <v>62659842</v>
      </c>
      <c r="H27" s="28">
        <f t="shared" ref="H27:I27" si="8">SUM(H18:H25)</f>
        <v>199674806</v>
      </c>
      <c r="I27" s="28">
        <f>SUM(I18:I26)</f>
        <v>30240995</v>
      </c>
      <c r="J27" s="28">
        <f>SUM(J18:J26)</f>
        <v>15540000</v>
      </c>
      <c r="L27" s="74"/>
    </row>
    <row r="28" spans="1:15" x14ac:dyDescent="0.3">
      <c r="E28" s="34"/>
      <c r="L28" s="46"/>
    </row>
    <row r="30" spans="1:15" x14ac:dyDescent="0.25">
      <c r="A30" s="249" t="s">
        <v>24</v>
      </c>
      <c r="B30" s="251" t="s">
        <v>25</v>
      </c>
      <c r="C30" s="253" t="s">
        <v>112</v>
      </c>
      <c r="D30" s="254"/>
      <c r="E30" s="254"/>
      <c r="F30" s="255"/>
      <c r="G30" s="256" t="s">
        <v>113</v>
      </c>
      <c r="H30" s="257"/>
      <c r="I30" s="257"/>
      <c r="J30" s="258"/>
      <c r="M30" s="86"/>
      <c r="N30" s="86"/>
      <c r="O30" s="24"/>
    </row>
    <row r="31" spans="1:15" ht="49.5" x14ac:dyDescent="0.25">
      <c r="A31" s="250"/>
      <c r="B31" s="252"/>
      <c r="C31" s="94" t="s">
        <v>118</v>
      </c>
      <c r="D31" s="220" t="s">
        <v>26</v>
      </c>
      <c r="E31" s="22" t="s">
        <v>27</v>
      </c>
      <c r="F31" s="220" t="s">
        <v>28</v>
      </c>
      <c r="G31" s="220" t="s">
        <v>114</v>
      </c>
      <c r="H31" s="220" t="s">
        <v>115</v>
      </c>
      <c r="I31" s="220" t="s">
        <v>116</v>
      </c>
      <c r="J31" s="220" t="s">
        <v>86</v>
      </c>
      <c r="M31" s="120">
        <v>500000</v>
      </c>
      <c r="N31" s="120">
        <v>500000</v>
      </c>
      <c r="O31" s="130"/>
    </row>
    <row r="32" spans="1:15" ht="37.5" x14ac:dyDescent="0.3">
      <c r="A32" s="124">
        <v>1</v>
      </c>
      <c r="B32" s="106" t="s">
        <v>117</v>
      </c>
      <c r="C32" s="116">
        <f>C33+C34</f>
        <v>1300000</v>
      </c>
      <c r="D32" s="86"/>
      <c r="E32" s="86"/>
      <c r="F32" s="24"/>
      <c r="G32" s="24"/>
      <c r="H32" s="49"/>
      <c r="I32" s="82">
        <f>C32</f>
        <v>1300000</v>
      </c>
      <c r="J32" s="48"/>
      <c r="M32" s="120">
        <v>100000</v>
      </c>
      <c r="N32" s="120">
        <v>100000</v>
      </c>
      <c r="O32" s="120">
        <v>100000</v>
      </c>
    </row>
    <row r="33" spans="1:15" ht="37.5" x14ac:dyDescent="0.3">
      <c r="A33" s="25" t="s">
        <v>33</v>
      </c>
      <c r="B33" s="127" t="s">
        <v>30</v>
      </c>
      <c r="C33" s="129">
        <f>D33+E33+F33</f>
        <v>1000000</v>
      </c>
      <c r="D33" s="120">
        <v>500000</v>
      </c>
      <c r="E33" s="120">
        <v>500000</v>
      </c>
      <c r="F33" s="130"/>
      <c r="G33" s="30"/>
      <c r="H33" s="49"/>
      <c r="I33" s="48"/>
      <c r="J33" s="48"/>
      <c r="M33" s="51">
        <f>D35-J35</f>
        <v>2975172</v>
      </c>
      <c r="N33" s="138">
        <f>E35</f>
        <v>240630476</v>
      </c>
      <c r="O33" s="30">
        <v>18729000</v>
      </c>
    </row>
    <row r="34" spans="1:15" ht="75" x14ac:dyDescent="0.3">
      <c r="A34" s="23" t="s">
        <v>34</v>
      </c>
      <c r="B34" s="128" t="s">
        <v>32</v>
      </c>
      <c r="C34" s="129">
        <f>D34+E34+F34</f>
        <v>300000</v>
      </c>
      <c r="D34" s="120">
        <v>100000</v>
      </c>
      <c r="E34" s="120">
        <v>100000</v>
      </c>
      <c r="F34" s="120">
        <v>100000</v>
      </c>
      <c r="G34" s="30"/>
      <c r="H34" s="49"/>
      <c r="I34" s="48"/>
      <c r="J34" s="48"/>
      <c r="M34" s="75">
        <v>2800000</v>
      </c>
      <c r="N34" s="221">
        <v>3000000</v>
      </c>
      <c r="O34" s="30">
        <v>4000000</v>
      </c>
    </row>
    <row r="35" spans="1:15" ht="37.5" x14ac:dyDescent="0.25">
      <c r="A35" s="124">
        <v>2</v>
      </c>
      <c r="B35" s="106" t="s">
        <v>35</v>
      </c>
      <c r="C35" s="112">
        <f>D35+E35+F35</f>
        <v>267374648</v>
      </c>
      <c r="D35" s="51">
        <v>8015172</v>
      </c>
      <c r="E35" s="138">
        <v>240630476</v>
      </c>
      <c r="F35" s="30">
        <v>18729000</v>
      </c>
      <c r="G35" s="30">
        <f>C35-(H35+J35)</f>
        <v>62659842</v>
      </c>
      <c r="H35" s="121">
        <v>199674806</v>
      </c>
      <c r="I35" s="122"/>
      <c r="J35" s="121">
        <v>5040000</v>
      </c>
      <c r="M35" s="76"/>
      <c r="N35" s="36"/>
      <c r="O35" s="35"/>
    </row>
    <row r="36" spans="1:15" ht="37.5" x14ac:dyDescent="0.25">
      <c r="A36" s="123">
        <v>3</v>
      </c>
      <c r="B36" s="113" t="s">
        <v>38</v>
      </c>
      <c r="C36" s="112">
        <f t="shared" ref="C36:C39" si="9">D36+E36+F36</f>
        <v>9800000</v>
      </c>
      <c r="D36" s="75">
        <v>2800000</v>
      </c>
      <c r="E36" s="221">
        <v>3000000</v>
      </c>
      <c r="F36" s="30">
        <v>4000000</v>
      </c>
      <c r="G36" s="30"/>
      <c r="H36" s="43"/>
      <c r="I36" s="121">
        <v>9800000</v>
      </c>
      <c r="J36" s="121">
        <v>6000000</v>
      </c>
      <c r="M36" s="39"/>
      <c r="N36" s="11"/>
      <c r="O36" s="11"/>
    </row>
    <row r="37" spans="1:15" ht="56.25" x14ac:dyDescent="0.3">
      <c r="A37" s="124">
        <v>4</v>
      </c>
      <c r="B37" s="114" t="s">
        <v>36</v>
      </c>
      <c r="C37" s="112">
        <f t="shared" si="9"/>
        <v>3000000</v>
      </c>
      <c r="D37" s="76">
        <v>3000000</v>
      </c>
      <c r="E37" s="36"/>
      <c r="F37" s="35"/>
      <c r="G37" s="30"/>
      <c r="H37" s="49"/>
      <c r="I37" s="48"/>
      <c r="J37" s="76">
        <v>3000000</v>
      </c>
      <c r="M37" s="224">
        <v>1000000</v>
      </c>
      <c r="N37" s="224">
        <v>1000000</v>
      </c>
      <c r="O37" s="224">
        <v>2000000</v>
      </c>
    </row>
    <row r="38" spans="1:15" ht="56.25" x14ac:dyDescent="0.3">
      <c r="A38" s="123">
        <v>5</v>
      </c>
      <c r="B38" s="114" t="s">
        <v>37</v>
      </c>
      <c r="C38" s="112">
        <f t="shared" si="9"/>
        <v>1500000</v>
      </c>
      <c r="D38" s="39">
        <v>1500000</v>
      </c>
      <c r="E38" s="11"/>
      <c r="F38" s="11"/>
      <c r="G38" s="30"/>
      <c r="H38" s="49"/>
      <c r="I38" s="48"/>
      <c r="J38" s="39">
        <v>1500000</v>
      </c>
      <c r="M38" s="233">
        <f>SUM(M31:M37)</f>
        <v>7375172</v>
      </c>
      <c r="N38" s="233">
        <f>SUM(N31:N37)</f>
        <v>245230476</v>
      </c>
      <c r="O38" s="233">
        <f>SUM(O31:O37)</f>
        <v>24829000</v>
      </c>
    </row>
    <row r="39" spans="1:15" ht="37.5" x14ac:dyDescent="0.3">
      <c r="A39" s="222">
        <v>6</v>
      </c>
      <c r="B39" s="126" t="s">
        <v>39</v>
      </c>
      <c r="C39" s="223">
        <f t="shared" si="9"/>
        <v>4000000</v>
      </c>
      <c r="D39" s="224">
        <v>1000000</v>
      </c>
      <c r="E39" s="224">
        <v>1000000</v>
      </c>
      <c r="F39" s="224">
        <v>2000000</v>
      </c>
      <c r="G39" s="225"/>
      <c r="H39" s="226"/>
      <c r="I39" s="227">
        <f>C39</f>
        <v>4000000</v>
      </c>
      <c r="J39" s="228"/>
      <c r="M39" s="233">
        <f>D26</f>
        <v>1436055.4176041151</v>
      </c>
      <c r="N39" s="233">
        <f>E26</f>
        <v>8870364.8818068579</v>
      </c>
      <c r="O39" s="233">
        <f>F26</f>
        <v>4834574.7005890263</v>
      </c>
    </row>
    <row r="40" spans="1:15" x14ac:dyDescent="0.3">
      <c r="A40" s="49"/>
      <c r="B40" s="49"/>
      <c r="C40" s="229">
        <f>C32+C35+C36+C37+C38+C39</f>
        <v>286974648</v>
      </c>
      <c r="D40" s="229">
        <f t="shared" ref="D40" si="10">SUM(D32:D39)</f>
        <v>16915172</v>
      </c>
      <c r="E40" s="229">
        <f t="shared" ref="E40" si="11">SUM(E32:E39)</f>
        <v>245230476</v>
      </c>
      <c r="F40" s="229">
        <f t="shared" ref="F40" si="12">SUM(F32:F39)</f>
        <v>24829000</v>
      </c>
      <c r="G40" s="229">
        <f t="shared" ref="G40" si="13">SUM(G32:G39)</f>
        <v>62659842</v>
      </c>
      <c r="H40" s="229">
        <f t="shared" ref="H40" si="14">SUM(H32:H39)</f>
        <v>199674806</v>
      </c>
      <c r="I40" s="229">
        <f t="shared" ref="I40" si="15">SUM(I32:I39)</f>
        <v>15100000</v>
      </c>
      <c r="J40" s="229">
        <f t="shared" ref="J40" si="16">SUM(J32:J39)</f>
        <v>15540000</v>
      </c>
      <c r="M40" s="233">
        <f>M38+M39</f>
        <v>8811227.4176041149</v>
      </c>
      <c r="N40" s="233">
        <f t="shared" ref="N40:O40" si="17">N38+N39</f>
        <v>254100840.88180685</v>
      </c>
      <c r="O40" s="233">
        <f t="shared" si="17"/>
        <v>29663574.700589027</v>
      </c>
    </row>
    <row r="41" spans="1:15" x14ac:dyDescent="0.3">
      <c r="M41" s="233">
        <f>J40</f>
        <v>15540000</v>
      </c>
      <c r="N41" s="233"/>
      <c r="O41" s="233"/>
    </row>
    <row r="42" spans="1:15" x14ac:dyDescent="0.3">
      <c r="M42" s="235">
        <f>M41+M40</f>
        <v>24351227.417604115</v>
      </c>
      <c r="N42" s="235">
        <f>N40</f>
        <v>254100840.88180685</v>
      </c>
      <c r="O42" s="235">
        <f>O40</f>
        <v>29663574.700589027</v>
      </c>
    </row>
  </sheetData>
  <mergeCells count="14">
    <mergeCell ref="A1:A2"/>
    <mergeCell ref="B1:B2"/>
    <mergeCell ref="C1:F1"/>
    <mergeCell ref="G1:J1"/>
    <mergeCell ref="A30:A31"/>
    <mergeCell ref="B30:B31"/>
    <mergeCell ref="C30:F30"/>
    <mergeCell ref="G30:J30"/>
    <mergeCell ref="I15:J15"/>
    <mergeCell ref="A14:J14"/>
    <mergeCell ref="A16:A17"/>
    <mergeCell ref="B16:B17"/>
    <mergeCell ref="G16:J16"/>
    <mergeCell ref="C16:F16"/>
  </mergeCells>
  <pageMargins left="0.45" right="0.2" top="0.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topLeftCell="A7" workbookViewId="0">
      <selection activeCell="A17" sqref="A17:XFD18"/>
    </sheetView>
  </sheetViews>
  <sheetFormatPr defaultRowHeight="15" x14ac:dyDescent="0.25"/>
  <cols>
    <col min="1" max="1" width="5.42578125" customWidth="1"/>
    <col min="2" max="2" width="25.85546875" customWidth="1"/>
    <col min="3" max="3" width="16.85546875" customWidth="1"/>
    <col min="4" max="4" width="14.85546875" customWidth="1"/>
    <col min="5" max="5" width="15.28515625" customWidth="1"/>
    <col min="6" max="6" width="15" customWidth="1"/>
    <col min="7" max="7" width="16" customWidth="1"/>
    <col min="8" max="8" width="13.85546875" customWidth="1"/>
    <col min="9" max="9" width="15.42578125" customWidth="1"/>
  </cols>
  <sheetData>
    <row r="2" spans="1:9" ht="16.5" x14ac:dyDescent="0.25">
      <c r="E2" s="260"/>
      <c r="F2" s="260"/>
      <c r="H2" s="260" t="s">
        <v>129</v>
      </c>
      <c r="I2" s="260"/>
    </row>
    <row r="3" spans="1:9" ht="15.75" x14ac:dyDescent="0.25">
      <c r="A3" s="262" t="s">
        <v>24</v>
      </c>
      <c r="B3" s="263" t="s">
        <v>99</v>
      </c>
      <c r="C3" s="264" t="s">
        <v>112</v>
      </c>
      <c r="D3" s="264"/>
      <c r="E3" s="264"/>
      <c r="F3" s="264"/>
      <c r="G3" s="261" t="s">
        <v>134</v>
      </c>
      <c r="H3" s="261"/>
      <c r="I3" s="261"/>
    </row>
    <row r="4" spans="1:9" ht="31.5" x14ac:dyDescent="0.25">
      <c r="A4" s="262"/>
      <c r="B4" s="263"/>
      <c r="C4" s="95" t="s">
        <v>128</v>
      </c>
      <c r="D4" s="95" t="s">
        <v>26</v>
      </c>
      <c r="E4" s="95" t="s">
        <v>27</v>
      </c>
      <c r="F4" s="95" t="s">
        <v>28</v>
      </c>
      <c r="G4" s="166" t="s">
        <v>101</v>
      </c>
      <c r="H4" s="166" t="s">
        <v>86</v>
      </c>
      <c r="I4" s="166" t="s">
        <v>135</v>
      </c>
    </row>
    <row r="5" spans="1:9" ht="15.75" x14ac:dyDescent="0.25">
      <c r="A5" s="175" t="s">
        <v>106</v>
      </c>
      <c r="B5" s="192" t="s">
        <v>107</v>
      </c>
      <c r="C5" s="88" t="s">
        <v>133</v>
      </c>
      <c r="D5" s="88" t="s">
        <v>103</v>
      </c>
      <c r="E5" s="88" t="s">
        <v>104</v>
      </c>
      <c r="F5" s="88" t="s">
        <v>126</v>
      </c>
      <c r="G5" s="88" t="s">
        <v>108</v>
      </c>
      <c r="H5" s="88" t="s">
        <v>105</v>
      </c>
      <c r="I5" s="88" t="s">
        <v>109</v>
      </c>
    </row>
    <row r="6" spans="1:9" ht="34.5" customHeight="1" x14ac:dyDescent="0.25">
      <c r="A6" s="167">
        <v>1</v>
      </c>
      <c r="B6" s="168" t="s">
        <v>136</v>
      </c>
      <c r="C6" s="169">
        <f>C7+C8</f>
        <v>1300000</v>
      </c>
      <c r="D6" s="110"/>
      <c r="E6" s="110"/>
      <c r="F6" s="167"/>
      <c r="G6" s="170">
        <f>C6</f>
        <v>1300000</v>
      </c>
      <c r="H6" s="171"/>
      <c r="I6" s="170">
        <f>G6+H6</f>
        <v>1300000</v>
      </c>
    </row>
    <row r="7" spans="1:9" ht="31.5" x14ac:dyDescent="0.25">
      <c r="A7" s="175" t="s">
        <v>33</v>
      </c>
      <c r="B7" s="172" t="s">
        <v>30</v>
      </c>
      <c r="C7" s="173">
        <f>D7+E7+F7</f>
        <v>1000000</v>
      </c>
      <c r="D7" s="174">
        <v>500000</v>
      </c>
      <c r="E7" s="174">
        <v>500000</v>
      </c>
      <c r="F7" s="175"/>
      <c r="G7" s="170"/>
      <c r="H7" s="171"/>
      <c r="I7" s="170"/>
    </row>
    <row r="8" spans="1:9" ht="48.75" customHeight="1" x14ac:dyDescent="0.25">
      <c r="A8" s="175" t="s">
        <v>34</v>
      </c>
      <c r="B8" s="176" t="s">
        <v>32</v>
      </c>
      <c r="C8" s="173">
        <f>D8+E8+F8</f>
        <v>300000</v>
      </c>
      <c r="D8" s="177">
        <v>100000</v>
      </c>
      <c r="E8" s="177">
        <v>100000</v>
      </c>
      <c r="F8" s="177">
        <v>100000</v>
      </c>
      <c r="G8" s="170"/>
      <c r="H8" s="171"/>
      <c r="I8" s="170"/>
    </row>
    <row r="9" spans="1:9" ht="25.5" customHeight="1" x14ac:dyDescent="0.25">
      <c r="A9" s="167">
        <v>2</v>
      </c>
      <c r="B9" s="168" t="s">
        <v>35</v>
      </c>
      <c r="C9" s="108">
        <f>D9+E9+F9</f>
        <v>267374648</v>
      </c>
      <c r="D9" s="178">
        <v>8015172</v>
      </c>
      <c r="E9" s="179">
        <v>240630476</v>
      </c>
      <c r="F9" s="180">
        <v>18729000</v>
      </c>
      <c r="G9" s="170">
        <f>C9-H9</f>
        <v>262334648</v>
      </c>
      <c r="H9" s="170">
        <f>GIATRIDAUTU!J21</f>
        <v>5040000</v>
      </c>
      <c r="I9" s="170">
        <f t="shared" ref="I9:I14" si="0">G9+H9</f>
        <v>267374648</v>
      </c>
    </row>
    <row r="10" spans="1:9" ht="24.75" customHeight="1" x14ac:dyDescent="0.25">
      <c r="A10" s="167">
        <v>3</v>
      </c>
      <c r="B10" s="109" t="s">
        <v>38</v>
      </c>
      <c r="C10" s="108">
        <f t="shared" ref="C10:C14" si="1">D10+E10+F10</f>
        <v>15800000</v>
      </c>
      <c r="D10" s="181">
        <v>8800000</v>
      </c>
      <c r="E10" s="180">
        <v>3000000</v>
      </c>
      <c r="F10" s="180">
        <v>4000000</v>
      </c>
      <c r="G10" s="170">
        <f t="shared" ref="G10:G14" si="2">C10-H10</f>
        <v>9800000</v>
      </c>
      <c r="H10" s="182">
        <f>GIATRIDAUTU!J22</f>
        <v>6000000</v>
      </c>
      <c r="I10" s="170">
        <f t="shared" si="0"/>
        <v>15800000</v>
      </c>
    </row>
    <row r="11" spans="1:9" ht="31.5" x14ac:dyDescent="0.25">
      <c r="A11" s="167">
        <v>4</v>
      </c>
      <c r="B11" s="109" t="s">
        <v>36</v>
      </c>
      <c r="C11" s="108">
        <f t="shared" si="1"/>
        <v>3000000</v>
      </c>
      <c r="D11" s="183">
        <v>3000000</v>
      </c>
      <c r="E11" s="184"/>
      <c r="F11" s="185"/>
      <c r="G11" s="170"/>
      <c r="H11" s="186">
        <f>GIATRIDAUTU!J23</f>
        <v>3000000</v>
      </c>
      <c r="I11" s="170">
        <f t="shared" si="0"/>
        <v>3000000</v>
      </c>
    </row>
    <row r="12" spans="1:9" ht="31.5" x14ac:dyDescent="0.25">
      <c r="A12" s="167">
        <v>5</v>
      </c>
      <c r="B12" s="109" t="s">
        <v>37</v>
      </c>
      <c r="C12" s="108">
        <f t="shared" si="1"/>
        <v>1500000</v>
      </c>
      <c r="D12" s="125">
        <v>1500000</v>
      </c>
      <c r="E12" s="187"/>
      <c r="F12" s="187"/>
      <c r="G12" s="170"/>
      <c r="H12" s="186">
        <f>GIATRIDAUTU!J24</f>
        <v>1500000</v>
      </c>
      <c r="I12" s="170">
        <f t="shared" si="0"/>
        <v>1500000</v>
      </c>
    </row>
    <row r="13" spans="1:9" ht="37.5" customHeight="1" x14ac:dyDescent="0.25">
      <c r="A13" s="167">
        <v>6</v>
      </c>
      <c r="B13" s="188" t="s">
        <v>39</v>
      </c>
      <c r="C13" s="108">
        <f t="shared" si="1"/>
        <v>4000000</v>
      </c>
      <c r="D13" s="180">
        <v>1000000</v>
      </c>
      <c r="E13" s="180">
        <v>1000000</v>
      </c>
      <c r="F13" s="180">
        <v>2000000</v>
      </c>
      <c r="G13" s="170">
        <f>C13-H13</f>
        <v>4000000</v>
      </c>
      <c r="H13" s="171"/>
      <c r="I13" s="170">
        <f t="shared" si="0"/>
        <v>4000000</v>
      </c>
    </row>
    <row r="14" spans="1:9" ht="31.5" x14ac:dyDescent="0.25">
      <c r="A14" s="167">
        <v>7</v>
      </c>
      <c r="B14" s="188" t="s">
        <v>137</v>
      </c>
      <c r="C14" s="108">
        <f t="shared" si="1"/>
        <v>15140995</v>
      </c>
      <c r="D14" s="182">
        <f>GIATRIDAUTU!D26</f>
        <v>1436055.4176041151</v>
      </c>
      <c r="E14" s="182">
        <f>GIATRIDAUTU!E26</f>
        <v>8870364.8818068579</v>
      </c>
      <c r="F14" s="182">
        <f>GIATRIDAUTU!F26</f>
        <v>4834574.7005890263</v>
      </c>
      <c r="G14" s="170">
        <f t="shared" si="2"/>
        <v>15140995</v>
      </c>
      <c r="H14" s="171"/>
      <c r="I14" s="170">
        <f t="shared" si="0"/>
        <v>15140995</v>
      </c>
    </row>
    <row r="15" spans="1:9" ht="15.75" x14ac:dyDescent="0.25">
      <c r="A15" s="171"/>
      <c r="B15" s="95" t="s">
        <v>31</v>
      </c>
      <c r="C15" s="189">
        <f>C6+C9+C10+C11+C12+C13+C14</f>
        <v>308115643</v>
      </c>
      <c r="D15" s="190">
        <f>SUM(D7:D14)</f>
        <v>24351227.417604115</v>
      </c>
      <c r="E15" s="190">
        <f t="shared" ref="E15:F15" si="3">SUM(E7:E14)</f>
        <v>254100840.88180685</v>
      </c>
      <c r="F15" s="190">
        <f t="shared" si="3"/>
        <v>29663574.700589027</v>
      </c>
      <c r="G15" s="191">
        <f>SUM(G6:G14)</f>
        <v>292575643</v>
      </c>
      <c r="H15" s="191">
        <f>SUM(H6:H14)</f>
        <v>15540000</v>
      </c>
      <c r="I15" s="191">
        <f>SUM(I6:I14)</f>
        <v>308115643</v>
      </c>
    </row>
    <row r="21" spans="1:8" ht="16.5" x14ac:dyDescent="0.25">
      <c r="E21" s="260" t="s">
        <v>129</v>
      </c>
      <c r="F21" s="260"/>
    </row>
    <row r="22" spans="1:8" ht="18.75" x14ac:dyDescent="0.3">
      <c r="A22" s="77" t="s">
        <v>24</v>
      </c>
      <c r="B22" s="77" t="s">
        <v>41</v>
      </c>
      <c r="C22" s="77" t="s">
        <v>26</v>
      </c>
      <c r="D22" s="77" t="s">
        <v>27</v>
      </c>
      <c r="E22" s="77" t="s">
        <v>28</v>
      </c>
      <c r="F22" s="77" t="s">
        <v>18</v>
      </c>
    </row>
    <row r="23" spans="1:8" ht="18.75" x14ac:dyDescent="0.3">
      <c r="A23" s="77">
        <v>1</v>
      </c>
      <c r="B23" s="159" t="s">
        <v>42</v>
      </c>
      <c r="C23" s="160">
        <v>838451</v>
      </c>
      <c r="D23" s="160">
        <v>9568000</v>
      </c>
      <c r="E23" s="160">
        <v>9116000</v>
      </c>
      <c r="F23" s="160">
        <f>C23+D23+E23</f>
        <v>19522451</v>
      </c>
    </row>
    <row r="24" spans="1:8" ht="18.75" x14ac:dyDescent="0.3">
      <c r="A24" s="77">
        <v>2</v>
      </c>
      <c r="B24" s="159" t="s">
        <v>43</v>
      </c>
      <c r="C24" s="161"/>
      <c r="D24" s="164">
        <v>163711806</v>
      </c>
      <c r="E24" s="161"/>
      <c r="F24" s="163">
        <f>D24</f>
        <v>163711806</v>
      </c>
    </row>
    <row r="25" spans="1:8" ht="37.5" x14ac:dyDescent="0.3">
      <c r="A25" s="42">
        <v>3</v>
      </c>
      <c r="B25" s="41" t="s">
        <v>130</v>
      </c>
      <c r="C25" s="160"/>
      <c r="D25" s="76">
        <v>35963000</v>
      </c>
      <c r="E25" s="165"/>
      <c r="F25" s="121">
        <f t="shared" ref="F25" si="4">C25+D25+E25</f>
        <v>35963000</v>
      </c>
    </row>
    <row r="26" spans="1:8" ht="18.75" x14ac:dyDescent="0.3">
      <c r="A26" s="77">
        <v>4</v>
      </c>
      <c r="B26" s="159" t="s">
        <v>44</v>
      </c>
      <c r="C26" s="160"/>
      <c r="D26" s="160">
        <v>10946430</v>
      </c>
      <c r="E26" s="160"/>
      <c r="F26" s="160">
        <f>C26+D26+E26</f>
        <v>10946430</v>
      </c>
    </row>
    <row r="27" spans="1:8" ht="18.75" x14ac:dyDescent="0.3">
      <c r="A27" s="77">
        <v>5</v>
      </c>
      <c r="B27" s="159" t="s">
        <v>3</v>
      </c>
      <c r="C27" s="121">
        <v>695535</v>
      </c>
      <c r="D27" s="160">
        <v>10557240</v>
      </c>
      <c r="E27" s="160"/>
      <c r="F27" s="160">
        <f>C27+D27+E27</f>
        <v>11252775</v>
      </c>
    </row>
    <row r="28" spans="1:8" ht="37.5" x14ac:dyDescent="0.3">
      <c r="A28" s="42">
        <v>6</v>
      </c>
      <c r="B28" s="41" t="s">
        <v>131</v>
      </c>
      <c r="C28" s="121">
        <v>721924</v>
      </c>
      <c r="D28" s="160"/>
      <c r="E28" s="160"/>
      <c r="F28" s="121">
        <f t="shared" ref="F28:F29" si="5">C28+D28+E28</f>
        <v>721924</v>
      </c>
    </row>
    <row r="29" spans="1:8" ht="18.75" x14ac:dyDescent="0.3">
      <c r="A29" s="77">
        <v>7</v>
      </c>
      <c r="B29" s="159" t="s">
        <v>132</v>
      </c>
      <c r="C29" s="160">
        <v>719262</v>
      </c>
      <c r="D29" s="162">
        <v>9884000</v>
      </c>
      <c r="E29" s="160">
        <v>9613000</v>
      </c>
      <c r="F29" s="160">
        <f t="shared" si="5"/>
        <v>20216262</v>
      </c>
      <c r="H29" s="18"/>
    </row>
    <row r="30" spans="1:8" ht="18.75" x14ac:dyDescent="0.3">
      <c r="A30" s="77"/>
      <c r="B30" s="77" t="s">
        <v>31</v>
      </c>
      <c r="C30" s="92">
        <f>SUM(C23:C29)</f>
        <v>2975172</v>
      </c>
      <c r="D30" s="92">
        <f>SUM(D23:D29)</f>
        <v>240630476</v>
      </c>
      <c r="E30" s="92">
        <f>SUM(E23:E29)</f>
        <v>18729000</v>
      </c>
      <c r="F30" s="92">
        <f>SUM(F23:F29)</f>
        <v>262334648</v>
      </c>
    </row>
    <row r="32" spans="1:8" x14ac:dyDescent="0.25">
      <c r="H32" s="18"/>
    </row>
  </sheetData>
  <mergeCells count="7">
    <mergeCell ref="H2:I2"/>
    <mergeCell ref="E21:F21"/>
    <mergeCell ref="G3:I3"/>
    <mergeCell ref="A3:A4"/>
    <mergeCell ref="B3:B4"/>
    <mergeCell ref="C3:F3"/>
    <mergeCell ref="E2:F2"/>
  </mergeCells>
  <pageMargins left="0.45" right="0.2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0"/>
  <sheetViews>
    <sheetView topLeftCell="A7" workbookViewId="0">
      <selection activeCell="D10" sqref="D10"/>
    </sheetView>
  </sheetViews>
  <sheetFormatPr defaultRowHeight="15" x14ac:dyDescent="0.25"/>
  <cols>
    <col min="1" max="1" width="5.42578125" customWidth="1"/>
    <col min="2" max="2" width="26" customWidth="1"/>
    <col min="3" max="3" width="15.42578125" customWidth="1"/>
    <col min="4" max="4" width="17.140625" customWidth="1"/>
    <col min="5" max="5" width="16.42578125" customWidth="1"/>
    <col min="6" max="6" width="15.28515625" customWidth="1"/>
    <col min="8" max="8" width="20.28515625" customWidth="1"/>
  </cols>
  <sheetData>
    <row r="2" spans="1:6" ht="16.5" x14ac:dyDescent="0.25">
      <c r="E2" s="260" t="s">
        <v>129</v>
      </c>
      <c r="F2" s="260"/>
    </row>
    <row r="3" spans="1:6" ht="18.75" customHeight="1" x14ac:dyDescent="0.25">
      <c r="A3" s="265" t="s">
        <v>24</v>
      </c>
      <c r="B3" s="266" t="s">
        <v>99</v>
      </c>
      <c r="C3" s="267" t="s">
        <v>112</v>
      </c>
      <c r="D3" s="267"/>
      <c r="E3" s="267"/>
      <c r="F3" s="267"/>
    </row>
    <row r="4" spans="1:6" ht="56.25" x14ac:dyDescent="0.25">
      <c r="A4" s="265"/>
      <c r="B4" s="266"/>
      <c r="C4" s="94" t="s">
        <v>128</v>
      </c>
      <c r="D4" s="26" t="s">
        <v>26</v>
      </c>
      <c r="E4" s="26" t="s">
        <v>27</v>
      </c>
      <c r="F4" s="26" t="s">
        <v>28</v>
      </c>
    </row>
    <row r="5" spans="1:6" ht="19.5" x14ac:dyDescent="0.25">
      <c r="A5" s="89" t="s">
        <v>106</v>
      </c>
      <c r="B5" s="153" t="s">
        <v>107</v>
      </c>
      <c r="C5" s="145" t="s">
        <v>102</v>
      </c>
      <c r="D5" s="145" t="s">
        <v>103</v>
      </c>
      <c r="E5" s="145" t="s">
        <v>104</v>
      </c>
      <c r="F5" s="145" t="s">
        <v>126</v>
      </c>
    </row>
    <row r="6" spans="1:6" ht="37.5" x14ac:dyDescent="0.25">
      <c r="A6" s="24">
        <v>1</v>
      </c>
      <c r="B6" s="87" t="s">
        <v>117</v>
      </c>
      <c r="C6" s="144">
        <f>C7+C8</f>
        <v>1300000</v>
      </c>
      <c r="D6" s="86"/>
      <c r="E6" s="86"/>
      <c r="F6" s="24"/>
    </row>
    <row r="7" spans="1:6" ht="33" x14ac:dyDescent="0.25">
      <c r="A7" s="154" t="s">
        <v>33</v>
      </c>
      <c r="B7" s="146" t="s">
        <v>30</v>
      </c>
      <c r="C7" s="147">
        <f>D7+E7+F7</f>
        <v>1000000</v>
      </c>
      <c r="D7" s="148">
        <v>500000</v>
      </c>
      <c r="E7" s="148">
        <v>500000</v>
      </c>
      <c r="F7" s="149"/>
    </row>
    <row r="8" spans="1:6" ht="66" x14ac:dyDescent="0.25">
      <c r="A8" s="155" t="s">
        <v>34</v>
      </c>
      <c r="B8" s="156" t="s">
        <v>32</v>
      </c>
      <c r="C8" s="147">
        <f>D8+E8+F8</f>
        <v>300000</v>
      </c>
      <c r="D8" s="150">
        <v>100000</v>
      </c>
      <c r="E8" s="150">
        <v>100000</v>
      </c>
      <c r="F8" s="150">
        <v>100000</v>
      </c>
    </row>
    <row r="9" spans="1:6" ht="37.5" x14ac:dyDescent="0.25">
      <c r="A9" s="24">
        <v>2</v>
      </c>
      <c r="B9" s="87" t="s">
        <v>35</v>
      </c>
      <c r="C9" s="107">
        <f>D9+E9+F9</f>
        <v>267374648</v>
      </c>
      <c r="D9" s="51">
        <v>8015172</v>
      </c>
      <c r="E9" s="157">
        <v>240630476</v>
      </c>
      <c r="F9" s="30">
        <v>18729000</v>
      </c>
    </row>
    <row r="10" spans="1:6" ht="18.75" x14ac:dyDescent="0.25">
      <c r="A10" s="24">
        <v>3</v>
      </c>
      <c r="B10" s="27" t="s">
        <v>38</v>
      </c>
      <c r="C10" s="107">
        <f t="shared" ref="C10:C14" si="0">D10+E10+F10</f>
        <v>15800000</v>
      </c>
      <c r="D10" s="75">
        <v>15800000</v>
      </c>
      <c r="E10" s="24"/>
      <c r="F10" s="24"/>
    </row>
    <row r="11" spans="1:6" ht="37.5" x14ac:dyDescent="0.25">
      <c r="A11" s="24">
        <v>4</v>
      </c>
      <c r="B11" s="27" t="s">
        <v>36</v>
      </c>
      <c r="C11" s="107">
        <f t="shared" si="0"/>
        <v>3000000</v>
      </c>
      <c r="D11" s="76">
        <v>3000000</v>
      </c>
      <c r="E11" s="36"/>
      <c r="F11" s="35"/>
    </row>
    <row r="12" spans="1:6" ht="56.25" x14ac:dyDescent="0.25">
      <c r="A12" s="24">
        <v>5</v>
      </c>
      <c r="B12" s="27" t="s">
        <v>37</v>
      </c>
      <c r="C12" s="107">
        <f t="shared" si="0"/>
        <v>1500000</v>
      </c>
      <c r="D12" s="39">
        <v>1500000</v>
      </c>
      <c r="E12" s="11"/>
      <c r="F12" s="11"/>
    </row>
    <row r="13" spans="1:6" ht="37.5" x14ac:dyDescent="0.25">
      <c r="A13" s="24">
        <v>6</v>
      </c>
      <c r="B13" s="38" t="s">
        <v>39</v>
      </c>
      <c r="C13" s="107">
        <f t="shared" si="0"/>
        <v>4000000</v>
      </c>
      <c r="D13" s="30">
        <v>1000000</v>
      </c>
      <c r="E13" s="30">
        <v>1000000</v>
      </c>
      <c r="F13" s="30">
        <v>2000000</v>
      </c>
    </row>
    <row r="14" spans="1:6" ht="56.25" x14ac:dyDescent="0.3">
      <c r="A14" s="24">
        <v>7</v>
      </c>
      <c r="B14" s="38" t="s">
        <v>127</v>
      </c>
      <c r="C14" s="107">
        <f t="shared" si="0"/>
        <v>15140995.026934182</v>
      </c>
      <c r="D14" s="91">
        <v>2799059.2851683456</v>
      </c>
      <c r="E14" s="91">
        <v>8286220.3840107098</v>
      </c>
      <c r="F14" s="91">
        <v>4055715.357755126</v>
      </c>
    </row>
    <row r="15" spans="1:6" ht="18.75" x14ac:dyDescent="0.25">
      <c r="A15" s="158"/>
      <c r="B15" s="94" t="s">
        <v>31</v>
      </c>
      <c r="C15" s="151">
        <f>C6+C9+C10+C11+C12+C13+C14</f>
        <v>308115643.02693421</v>
      </c>
      <c r="D15" s="152">
        <f t="shared" ref="D15:F15" si="1">D6+D9+D10+D11+D12+D13+D14</f>
        <v>32114231.285168346</v>
      </c>
      <c r="E15" s="152">
        <f t="shared" si="1"/>
        <v>249916696.3840107</v>
      </c>
      <c r="F15" s="152">
        <f t="shared" si="1"/>
        <v>24784715.357755125</v>
      </c>
    </row>
    <row r="19" spans="1:8" ht="16.5" x14ac:dyDescent="0.25">
      <c r="E19" s="260" t="s">
        <v>129</v>
      </c>
      <c r="F19" s="260"/>
    </row>
    <row r="20" spans="1:8" ht="18.75" x14ac:dyDescent="0.3">
      <c r="A20" s="77" t="s">
        <v>24</v>
      </c>
      <c r="B20" s="77" t="s">
        <v>41</v>
      </c>
      <c r="C20" s="77" t="s">
        <v>26</v>
      </c>
      <c r="D20" s="77" t="s">
        <v>27</v>
      </c>
      <c r="E20" s="77" t="s">
        <v>28</v>
      </c>
      <c r="F20" s="77" t="s">
        <v>18</v>
      </c>
    </row>
    <row r="21" spans="1:8" ht="18.75" x14ac:dyDescent="0.3">
      <c r="A21" s="77">
        <v>1</v>
      </c>
      <c r="B21" s="159" t="s">
        <v>42</v>
      </c>
      <c r="C21" s="160">
        <v>838451</v>
      </c>
      <c r="D21" s="160">
        <v>9568000</v>
      </c>
      <c r="E21" s="160">
        <v>9116000</v>
      </c>
      <c r="F21" s="160">
        <f>C21+D21+E21</f>
        <v>19522451</v>
      </c>
    </row>
    <row r="22" spans="1:8" ht="18.75" x14ac:dyDescent="0.3">
      <c r="A22" s="77">
        <v>2</v>
      </c>
      <c r="B22" s="159" t="s">
        <v>43</v>
      </c>
      <c r="C22" s="161"/>
      <c r="D22" s="164">
        <v>163711806</v>
      </c>
      <c r="E22" s="161"/>
      <c r="F22" s="163">
        <f>D22</f>
        <v>163711806</v>
      </c>
    </row>
    <row r="23" spans="1:8" ht="37.5" x14ac:dyDescent="0.3">
      <c r="A23" s="42">
        <v>3</v>
      </c>
      <c r="B23" s="41" t="s">
        <v>130</v>
      </c>
      <c r="C23" s="160"/>
      <c r="D23" s="76">
        <v>35963000</v>
      </c>
      <c r="E23" s="165"/>
      <c r="F23" s="121">
        <f t="shared" ref="F23" si="2">C23+D23+E23</f>
        <v>35963000</v>
      </c>
    </row>
    <row r="24" spans="1:8" ht="18.75" x14ac:dyDescent="0.3">
      <c r="A24" s="77">
        <v>4</v>
      </c>
      <c r="B24" s="159" t="s">
        <v>44</v>
      </c>
      <c r="C24" s="160"/>
      <c r="D24" s="160">
        <v>10946430</v>
      </c>
      <c r="E24" s="160"/>
      <c r="F24" s="160">
        <f>C24+D24+E24</f>
        <v>10946430</v>
      </c>
    </row>
    <row r="25" spans="1:8" ht="18.75" x14ac:dyDescent="0.3">
      <c r="A25" s="77">
        <v>5</v>
      </c>
      <c r="B25" s="159" t="s">
        <v>3</v>
      </c>
      <c r="C25" s="121">
        <v>695535</v>
      </c>
      <c r="D25" s="160">
        <v>10557240</v>
      </c>
      <c r="E25" s="160"/>
      <c r="F25" s="160">
        <f>C25+D25+E25</f>
        <v>11252775</v>
      </c>
    </row>
    <row r="26" spans="1:8" ht="37.5" x14ac:dyDescent="0.3">
      <c r="A26" s="42">
        <v>6</v>
      </c>
      <c r="B26" s="41" t="s">
        <v>131</v>
      </c>
      <c r="C26" s="121">
        <v>721924</v>
      </c>
      <c r="D26" s="160"/>
      <c r="E26" s="160"/>
      <c r="F26" s="121">
        <f t="shared" ref="F26:F27" si="3">C26+D26+E26</f>
        <v>721924</v>
      </c>
    </row>
    <row r="27" spans="1:8" ht="18.75" x14ac:dyDescent="0.3">
      <c r="A27" s="77">
        <v>7</v>
      </c>
      <c r="B27" s="159" t="s">
        <v>132</v>
      </c>
      <c r="C27" s="160">
        <v>719262</v>
      </c>
      <c r="D27" s="162">
        <v>9884000</v>
      </c>
      <c r="E27" s="160">
        <v>9613000</v>
      </c>
      <c r="F27" s="160">
        <f t="shared" si="3"/>
        <v>20216262</v>
      </c>
      <c r="H27" s="18"/>
    </row>
    <row r="28" spans="1:8" ht="18.75" x14ac:dyDescent="0.3">
      <c r="A28" s="77"/>
      <c r="B28" s="77" t="s">
        <v>31</v>
      </c>
      <c r="C28" s="92">
        <f>SUM(C21:C27)</f>
        <v>2975172</v>
      </c>
      <c r="D28" s="92">
        <f>SUM(D21:D27)</f>
        <v>240630476</v>
      </c>
      <c r="E28" s="92">
        <f>SUM(E21:E27)</f>
        <v>18729000</v>
      </c>
      <c r="F28" s="92">
        <f>SUM(F21:F27)</f>
        <v>262334648</v>
      </c>
    </row>
    <row r="30" spans="1:8" x14ac:dyDescent="0.25">
      <c r="H30" s="18"/>
    </row>
  </sheetData>
  <mergeCells count="5">
    <mergeCell ref="E2:F2"/>
    <mergeCell ref="A3:A4"/>
    <mergeCell ref="B3:B4"/>
    <mergeCell ref="C3:F3"/>
    <mergeCell ref="E19:F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E4" sqref="E4"/>
    </sheetView>
  </sheetViews>
  <sheetFormatPr defaultRowHeight="15" x14ac:dyDescent="0.25"/>
  <cols>
    <col min="1" max="1" width="9.140625" style="12"/>
    <col min="2" max="2" width="19.85546875" style="12" customWidth="1"/>
    <col min="3" max="3" width="15.5703125" style="12" customWidth="1"/>
    <col min="4" max="4" width="12.42578125" style="12" customWidth="1"/>
    <col min="5" max="5" width="17.28515625" style="12" customWidth="1"/>
    <col min="6" max="6" width="16" style="12" customWidth="1"/>
    <col min="7" max="7" width="18.28515625" style="12" customWidth="1"/>
  </cols>
  <sheetData>
    <row r="1" spans="1:7" ht="30" customHeight="1" x14ac:dyDescent="0.25">
      <c r="A1" s="101" t="s">
        <v>24</v>
      </c>
      <c r="B1" s="101" t="s">
        <v>152</v>
      </c>
      <c r="C1" s="101" t="s">
        <v>153</v>
      </c>
      <c r="D1" s="101" t="s">
        <v>154</v>
      </c>
      <c r="E1" s="101" t="s">
        <v>92</v>
      </c>
      <c r="F1" s="101" t="s">
        <v>155</v>
      </c>
      <c r="G1" s="101" t="s">
        <v>156</v>
      </c>
    </row>
    <row r="2" spans="1:7" ht="38.25" customHeight="1" x14ac:dyDescent="0.25">
      <c r="A2" s="101" t="s">
        <v>10</v>
      </c>
      <c r="B2" s="100" t="s">
        <v>157</v>
      </c>
      <c r="C2" s="101" t="s">
        <v>158</v>
      </c>
      <c r="D2" s="102"/>
      <c r="E2" s="211">
        <v>166712418182</v>
      </c>
      <c r="F2" s="211">
        <v>16671241818</v>
      </c>
      <c r="G2" s="211">
        <v>183383660000</v>
      </c>
    </row>
    <row r="3" spans="1:7" ht="38.25" customHeight="1" x14ac:dyDescent="0.25">
      <c r="A3" s="101" t="s">
        <v>15</v>
      </c>
      <c r="B3" s="100" t="s">
        <v>159</v>
      </c>
      <c r="C3" s="101" t="s">
        <v>160</v>
      </c>
      <c r="D3" s="98" t="s">
        <v>161</v>
      </c>
      <c r="E3" s="211">
        <v>3064174246</v>
      </c>
      <c r="F3" s="211">
        <v>306417425</v>
      </c>
      <c r="G3" s="211">
        <v>3370591671</v>
      </c>
    </row>
    <row r="4" spans="1:7" ht="38.25" customHeight="1" x14ac:dyDescent="0.25">
      <c r="A4" s="101" t="s">
        <v>20</v>
      </c>
      <c r="B4" s="100" t="s">
        <v>162</v>
      </c>
      <c r="C4" s="101" t="s">
        <v>163</v>
      </c>
      <c r="D4" s="102"/>
      <c r="E4" s="212">
        <v>2027223005</v>
      </c>
      <c r="F4" s="211">
        <v>202722301</v>
      </c>
      <c r="G4" s="211">
        <v>2229945306</v>
      </c>
    </row>
    <row r="5" spans="1:7" ht="38.25" customHeight="1" x14ac:dyDescent="0.25">
      <c r="A5" s="97">
        <v>1</v>
      </c>
      <c r="B5" s="96" t="s">
        <v>164</v>
      </c>
      <c r="C5" s="97"/>
      <c r="D5" s="98" t="s">
        <v>165</v>
      </c>
      <c r="E5" s="213">
        <v>743537385</v>
      </c>
      <c r="F5" s="213">
        <v>74353739</v>
      </c>
      <c r="G5" s="213">
        <v>817891124</v>
      </c>
    </row>
    <row r="6" spans="1:7" ht="38.25" customHeight="1" x14ac:dyDescent="0.25">
      <c r="A6" s="97">
        <v>2</v>
      </c>
      <c r="B6" s="96" t="s">
        <v>166</v>
      </c>
      <c r="C6" s="97"/>
      <c r="D6" s="98" t="s">
        <v>167</v>
      </c>
      <c r="E6" s="213">
        <v>131702810</v>
      </c>
      <c r="F6" s="213">
        <v>13170281</v>
      </c>
      <c r="G6" s="213">
        <v>144873091</v>
      </c>
    </row>
    <row r="7" spans="1:7" ht="38.25" customHeight="1" x14ac:dyDescent="0.25">
      <c r="A7" s="97">
        <v>3</v>
      </c>
      <c r="B7" s="96" t="s">
        <v>168</v>
      </c>
      <c r="C7" s="97"/>
      <c r="D7" s="98" t="s">
        <v>169</v>
      </c>
      <c r="E7" s="213">
        <v>333424836</v>
      </c>
      <c r="F7" s="213">
        <v>33342484</v>
      </c>
      <c r="G7" s="213">
        <v>366767320</v>
      </c>
    </row>
    <row r="8" spans="1:7" ht="38.25" customHeight="1" x14ac:dyDescent="0.25">
      <c r="A8" s="97">
        <v>4</v>
      </c>
      <c r="B8" s="96" t="s">
        <v>170</v>
      </c>
      <c r="C8" s="97"/>
      <c r="D8" s="98" t="s">
        <v>171</v>
      </c>
      <c r="E8" s="214">
        <v>176715163</v>
      </c>
      <c r="F8" s="213">
        <v>17671516</v>
      </c>
      <c r="G8" s="213">
        <v>194386680</v>
      </c>
    </row>
    <row r="9" spans="1:7" ht="38.25" customHeight="1" x14ac:dyDescent="0.25">
      <c r="A9" s="97">
        <v>5</v>
      </c>
      <c r="B9" s="96" t="s">
        <v>172</v>
      </c>
      <c r="C9" s="97"/>
      <c r="D9" s="98" t="s">
        <v>173</v>
      </c>
      <c r="E9" s="213">
        <v>83356209</v>
      </c>
      <c r="F9" s="213">
        <v>8335621</v>
      </c>
      <c r="G9" s="213">
        <v>91691830</v>
      </c>
    </row>
    <row r="10" spans="1:7" ht="38.25" customHeight="1" x14ac:dyDescent="0.25">
      <c r="A10" s="97">
        <v>6</v>
      </c>
      <c r="B10" s="96" t="s">
        <v>148</v>
      </c>
      <c r="C10" s="97"/>
      <c r="D10" s="98" t="s">
        <v>174</v>
      </c>
      <c r="E10" s="213">
        <v>558486601</v>
      </c>
      <c r="F10" s="213">
        <v>55848660</v>
      </c>
      <c r="G10" s="213">
        <v>614335261</v>
      </c>
    </row>
    <row r="11" spans="1:7" ht="38.25" customHeight="1" x14ac:dyDescent="0.25">
      <c r="A11" s="101" t="s">
        <v>175</v>
      </c>
      <c r="B11" s="100" t="s">
        <v>176</v>
      </c>
      <c r="C11" s="101" t="s">
        <v>177</v>
      </c>
      <c r="D11" s="104"/>
      <c r="E11" s="211">
        <v>1074804669</v>
      </c>
      <c r="F11" s="211">
        <v>107480467</v>
      </c>
      <c r="G11" s="211">
        <v>1182285136</v>
      </c>
    </row>
    <row r="12" spans="1:7" ht="38.25" customHeight="1" x14ac:dyDescent="0.25">
      <c r="A12" s="97">
        <v>1</v>
      </c>
      <c r="B12" s="96" t="s">
        <v>178</v>
      </c>
      <c r="C12" s="97"/>
      <c r="D12" s="98" t="s">
        <v>179</v>
      </c>
      <c r="E12" s="213">
        <v>418514094</v>
      </c>
      <c r="F12" s="213">
        <v>41851409</v>
      </c>
      <c r="G12" s="213">
        <v>460365504</v>
      </c>
    </row>
    <row r="13" spans="1:7" ht="38.25" customHeight="1" x14ac:dyDescent="0.25">
      <c r="A13" s="215">
        <v>2</v>
      </c>
      <c r="B13" s="96" t="s">
        <v>180</v>
      </c>
      <c r="C13" s="97"/>
      <c r="D13" s="98" t="s">
        <v>181</v>
      </c>
      <c r="E13" s="213">
        <v>637392155</v>
      </c>
      <c r="F13" s="213">
        <v>63739216</v>
      </c>
      <c r="G13" s="213">
        <v>701131371</v>
      </c>
    </row>
    <row r="14" spans="1:7" ht="38.25" customHeight="1" x14ac:dyDescent="0.25">
      <c r="A14" s="97">
        <v>3</v>
      </c>
      <c r="B14" s="96" t="s">
        <v>69</v>
      </c>
      <c r="C14" s="97"/>
      <c r="D14" s="98" t="s">
        <v>182</v>
      </c>
      <c r="E14" s="213">
        <v>18898420</v>
      </c>
      <c r="F14" s="213">
        <v>1889842</v>
      </c>
      <c r="G14" s="213">
        <v>20788262</v>
      </c>
    </row>
    <row r="15" spans="1:7" ht="38.25" customHeight="1" x14ac:dyDescent="0.25">
      <c r="A15" s="101" t="s">
        <v>183</v>
      </c>
      <c r="B15" s="100" t="s">
        <v>184</v>
      </c>
      <c r="C15" s="101" t="s">
        <v>185</v>
      </c>
      <c r="D15" s="102" t="s">
        <v>186</v>
      </c>
      <c r="E15" s="211">
        <v>8643931005</v>
      </c>
      <c r="F15" s="211">
        <v>864393101</v>
      </c>
      <c r="G15" s="211">
        <v>9508324106</v>
      </c>
    </row>
    <row r="16" spans="1:7" ht="38.25" customHeight="1" x14ac:dyDescent="0.25">
      <c r="A16" s="97">
        <v>1</v>
      </c>
      <c r="B16" s="96" t="s">
        <v>187</v>
      </c>
      <c r="C16" s="97" t="s">
        <v>188</v>
      </c>
      <c r="D16" s="104"/>
      <c r="E16" s="99">
        <v>0</v>
      </c>
      <c r="F16" s="99">
        <v>0</v>
      </c>
      <c r="G16" s="99">
        <v>0</v>
      </c>
    </row>
    <row r="17" spans="1:7" ht="38.25" customHeight="1" x14ac:dyDescent="0.25">
      <c r="A17" s="97">
        <v>2</v>
      </c>
      <c r="B17" s="96" t="s">
        <v>189</v>
      </c>
      <c r="C17" s="97" t="s">
        <v>190</v>
      </c>
      <c r="D17" s="98" t="s">
        <v>191</v>
      </c>
      <c r="E17" s="213">
        <v>8643931005</v>
      </c>
      <c r="F17" s="213">
        <v>864393101</v>
      </c>
      <c r="G17" s="213">
        <v>9508324106</v>
      </c>
    </row>
    <row r="18" spans="1:7" ht="38.25" customHeight="1" x14ac:dyDescent="0.25">
      <c r="A18" s="101" t="s">
        <v>192</v>
      </c>
      <c r="B18" s="100" t="s">
        <v>193</v>
      </c>
      <c r="C18" s="101"/>
      <c r="D18" s="104"/>
      <c r="E18" s="211">
        <v>181522551108</v>
      </c>
      <c r="F18" s="211">
        <v>18152255111</v>
      </c>
      <c r="G18" s="211">
        <v>199674806218</v>
      </c>
    </row>
    <row r="19" spans="1:7" ht="38.25" customHeight="1" x14ac:dyDescent="0.25">
      <c r="A19" s="101" t="s">
        <v>194</v>
      </c>
      <c r="B19" s="100" t="s">
        <v>195</v>
      </c>
      <c r="C19" s="101"/>
      <c r="D19" s="104"/>
      <c r="E19" s="103"/>
      <c r="F19" s="103"/>
      <c r="G19" s="211">
        <v>199674806000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TUYENSINH</vt:lpstr>
      <vt:lpstr>CHUONGTRINH</vt:lpstr>
      <vt:lpstr>THIETBI</vt:lpstr>
      <vt:lpstr>CÔNGTHUC</vt:lpstr>
      <vt:lpstr>Sheet6</vt:lpstr>
      <vt:lpstr>BANGCHIPHI</vt:lpstr>
      <vt:lpstr>GIATRIDAUTU</vt:lpstr>
      <vt:lpstr>Sheet1</vt:lpstr>
      <vt:lpstr>Sheet2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CHOA-TCHC</cp:lastModifiedBy>
  <cp:lastPrinted>2018-09-04T13:29:44Z</cp:lastPrinted>
  <dcterms:created xsi:type="dcterms:W3CDTF">2018-03-18T10:04:37Z</dcterms:created>
  <dcterms:modified xsi:type="dcterms:W3CDTF">2018-09-05T00:18:36Z</dcterms:modified>
</cp:coreProperties>
</file>